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QMS\Downloads\"/>
    </mc:Choice>
  </mc:AlternateContent>
  <xr:revisionPtr revIDLastSave="0" documentId="13_ncr:1_{EF533132-5D02-4980-A5F4-FF019DEA7ABF}"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160" yWindow="2220" windowWidth="24330" windowHeight="13410" tabRatio="789" activeTab="5"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J316" i="8" l="1"/>
  <c r="K316" i="8"/>
  <c r="J317" i="8"/>
  <c r="K317" i="8"/>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5" i="4" s="1"/>
  <c r="R16" i="4"/>
  <c r="S16" i="4" s="1"/>
  <c r="S17" i="4"/>
  <c r="T18" i="4" s="1"/>
  <c r="U18" i="4" s="1"/>
  <c r="P14" i="4"/>
  <c r="Q14" i="4"/>
  <c r="P13" i="4"/>
  <c r="P12" i="4"/>
  <c r="Q13" i="4"/>
  <c r="R14" i="4"/>
  <c r="R13" i="4"/>
  <c r="S13" i="4" s="1"/>
  <c r="Q12" i="4"/>
  <c r="R12" i="4"/>
  <c r="S12" i="4"/>
  <c r="T12"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S19" i="4"/>
  <c r="R20" i="4"/>
  <c r="Q21" i="4"/>
  <c r="R21" i="4"/>
  <c r="S20" i="4"/>
  <c r="T19" i="4"/>
  <c r="U19" i="4"/>
  <c r="T20" i="4"/>
  <c r="S21" i="4"/>
  <c r="T21" i="4"/>
  <c r="U20" i="4"/>
  <c r="V19" i="4"/>
  <c r="W19" i="4"/>
  <c r="V20" i="4"/>
  <c r="W20" i="4" s="1"/>
  <c r="U21" i="4"/>
  <c r="V21" i="4"/>
  <c r="W21" i="4"/>
  <c r="X21" i="4"/>
  <c r="Y21" i="4" s="1"/>
  <c r="Z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B111" i="6"/>
  <c r="B110" i="6"/>
  <c r="B109" i="6"/>
  <c r="B108" i="6"/>
  <c r="B107" i="6"/>
  <c r="B106" i="6"/>
  <c r="B105" i="6"/>
  <c r="B104" i="6"/>
  <c r="B103" i="6"/>
  <c r="G103" i="6" s="1"/>
  <c r="B102" i="6"/>
  <c r="G102" i="6" s="1"/>
  <c r="B101" i="6"/>
  <c r="B100" i="6"/>
  <c r="B99" i="6"/>
  <c r="B98" i="6"/>
  <c r="B96" i="6"/>
  <c r="B95" i="6"/>
  <c r="B94" i="6"/>
  <c r="B92" i="6"/>
  <c r="B91" i="6"/>
  <c r="B90" i="6"/>
  <c r="B89" i="6"/>
  <c r="B88" i="6"/>
  <c r="B87" i="6"/>
  <c r="B86" i="6"/>
  <c r="B85" i="6"/>
  <c r="B84" i="6"/>
  <c r="G84" i="6" s="1"/>
  <c r="B83" i="6"/>
  <c r="B81" i="6"/>
  <c r="B80" i="6"/>
  <c r="B79" i="6"/>
  <c r="B78" i="6"/>
  <c r="B77" i="6"/>
  <c r="G77" i="6" s="1"/>
  <c r="B76" i="6"/>
  <c r="B75" i="6"/>
  <c r="G75" i="6" s="1"/>
  <c r="B74" i="6"/>
  <c r="B73" i="6"/>
  <c r="B72" i="6"/>
  <c r="B70" i="6"/>
  <c r="B69" i="6"/>
  <c r="B68" i="6"/>
  <c r="B67" i="6"/>
  <c r="B66" i="6"/>
  <c r="G66" i="6" s="1"/>
  <c r="B65" i="6"/>
  <c r="B64" i="6"/>
  <c r="B63" i="6"/>
  <c r="G63" i="6" s="1"/>
  <c r="B62" i="6"/>
  <c r="B61" i="6"/>
  <c r="B59" i="6"/>
  <c r="B58" i="6"/>
  <c r="B57" i="6"/>
  <c r="B56" i="6"/>
  <c r="B55" i="6"/>
  <c r="B54" i="6"/>
  <c r="B53" i="6"/>
  <c r="G53" i="6" s="1"/>
  <c r="B52" i="6"/>
  <c r="B51" i="6"/>
  <c r="G51" i="6" s="1"/>
  <c r="B50" i="6"/>
  <c r="G50" i="6" s="1"/>
  <c r="B48" i="6"/>
  <c r="B47" i="6"/>
  <c r="B46" i="6"/>
  <c r="B45" i="6"/>
  <c r="B44" i="6"/>
  <c r="B43" i="6"/>
  <c r="B42" i="6"/>
  <c r="B41" i="6"/>
  <c r="G41" i="6" s="1"/>
  <c r="B40" i="6"/>
  <c r="G40" i="6" s="1"/>
  <c r="B39" i="6"/>
  <c r="B37" i="6"/>
  <c r="B36" i="6"/>
  <c r="B35" i="6"/>
  <c r="B34" i="6"/>
  <c r="B33" i="6"/>
  <c r="G33" i="6" s="1"/>
  <c r="B32" i="6"/>
  <c r="G32" i="6" s="1"/>
  <c r="B31" i="6"/>
  <c r="B30" i="6"/>
  <c r="B29" i="6"/>
  <c r="B28" i="6"/>
  <c r="B26" i="6"/>
  <c r="B25" i="6"/>
  <c r="B24" i="6"/>
  <c r="B23" i="6"/>
  <c r="B22" i="6"/>
  <c r="G22" i="6" s="1"/>
  <c r="B21" i="6"/>
  <c r="B20" i="6"/>
  <c r="B19" i="6"/>
  <c r="G19" i="6" s="1"/>
  <c r="B18" i="6"/>
  <c r="B17" i="6"/>
  <c r="B15" i="6"/>
  <c r="G15" i="6" s="1"/>
  <c r="H15" i="6" s="1"/>
  <c r="D15" i="6" s="1"/>
  <c r="B13" i="6"/>
  <c r="B12" i="6"/>
  <c r="B11" i="6"/>
  <c r="B10" i="6"/>
  <c r="B9" i="6"/>
  <c r="B6" i="6"/>
  <c r="B4" i="6"/>
  <c r="G4" i="6" s="1"/>
  <c r="H4" i="6" s="1"/>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01" i="4" s="1"/>
  <c r="B113" i="4"/>
  <c r="H10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5" i="5" s="1"/>
  <c r="J75" i="6"/>
  <c r="J73" i="6"/>
  <c r="C4" i="5"/>
  <c r="D4" i="5"/>
  <c r="E4" i="5"/>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1" i="6"/>
  <c r="G100" i="6"/>
  <c r="G88" i="6"/>
  <c r="G87" i="6"/>
  <c r="G86" i="6"/>
  <c r="G85" i="6"/>
  <c r="G83" i="6"/>
  <c r="G76" i="6"/>
  <c r="G74" i="6"/>
  <c r="G73" i="6"/>
  <c r="G72" i="6"/>
  <c r="J74" i="6"/>
  <c r="G65" i="6"/>
  <c r="G64" i="6"/>
  <c r="G62" i="6"/>
  <c r="G61" i="6"/>
  <c r="G55" i="6"/>
  <c r="G54" i="6"/>
  <c r="G52" i="6"/>
  <c r="G44" i="6"/>
  <c r="G43" i="6"/>
  <c r="G42" i="6"/>
  <c r="G39" i="6"/>
  <c r="G30" i="6"/>
  <c r="G29" i="6"/>
  <c r="G28" i="6"/>
  <c r="G17" i="6"/>
  <c r="G9" i="6"/>
  <c r="H9" i="6" s="1"/>
  <c r="C37" i="6"/>
  <c r="C36" i="6"/>
  <c r="C35" i="6"/>
  <c r="C34" i="6"/>
  <c r="I33" i="6"/>
  <c r="J33" i="6"/>
  <c r="I32" i="6"/>
  <c r="J32" i="6"/>
  <c r="I31" i="6"/>
  <c r="J31" i="6"/>
  <c r="I30" i="6"/>
  <c r="J30" i="6"/>
  <c r="I29" i="6"/>
  <c r="J29" i="6"/>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2" i="13"/>
  <c r="C4" i="8"/>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0" i="6"/>
  <c r="H10" i="6"/>
  <c r="D10" i="6" s="1"/>
  <c r="G13" i="6"/>
  <c r="H13" i="6"/>
  <c r="G5" i="6"/>
  <c r="H5" i="6"/>
  <c r="D5" i="6" s="1"/>
  <c r="G6" i="6"/>
  <c r="G11" i="6"/>
  <c r="H11" i="6" s="1"/>
  <c r="D11" i="6" s="1"/>
  <c r="G12" i="6"/>
  <c r="H12" i="6"/>
  <c r="D12" i="6" s="1"/>
  <c r="H14"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6" i="4"/>
  <c r="S44" i="4"/>
  <c r="S49" i="4"/>
  <c r="T48" i="4" s="1"/>
  <c r="U48" i="4" s="1"/>
  <c r="S48" i="4"/>
  <c r="S50" i="4"/>
  <c r="S51" i="4"/>
  <c r="T50" i="4" s="1"/>
  <c r="C10" i="6" l="1"/>
  <c r="C25" i="5"/>
  <c r="AD25" i="5" s="1"/>
  <c r="C15" i="6"/>
  <c r="B26" i="5"/>
  <c r="AC26" i="5" s="1"/>
  <c r="B25" i="5"/>
  <c r="AC25" i="5" s="1"/>
  <c r="C26" i="5"/>
  <c r="C22" i="5"/>
  <c r="AD22" i="5" s="1"/>
  <c r="B24" i="5"/>
  <c r="B23" i="5"/>
  <c r="AC23" i="5" s="1"/>
  <c r="C24" i="5"/>
  <c r="B22" i="5"/>
  <c r="C23" i="5"/>
  <c r="C17" i="5"/>
  <c r="AD17" i="5" s="1"/>
  <c r="B21" i="5"/>
  <c r="C21" i="5"/>
  <c r="B20" i="5"/>
  <c r="B18" i="5"/>
  <c r="AC18" i="5" s="1"/>
  <c r="C20" i="5"/>
  <c r="B19" i="5"/>
  <c r="C19" i="5"/>
  <c r="B17" i="5"/>
  <c r="AC17" i="5" s="1"/>
  <c r="C18" i="5"/>
  <c r="C15" i="5"/>
  <c r="AD15" i="5" s="1"/>
  <c r="B16" i="5"/>
  <c r="C16" i="5"/>
  <c r="B15" i="5"/>
  <c r="B14" i="5"/>
  <c r="C13" i="5"/>
  <c r="AD13" i="5" s="1"/>
  <c r="B13" i="5"/>
  <c r="AC13" i="5" s="1"/>
  <c r="C14" i="5"/>
  <c r="C11" i="5"/>
  <c r="AD11" i="5" s="1"/>
  <c r="B12" i="5"/>
  <c r="C12" i="5"/>
  <c r="B11" i="5"/>
  <c r="B10" i="5"/>
  <c r="C7" i="5"/>
  <c r="AD7" i="5" s="1"/>
  <c r="B9" i="5"/>
  <c r="AC9" i="5" s="1"/>
  <c r="C10" i="5"/>
  <c r="C9" i="5"/>
  <c r="B8" i="5"/>
  <c r="C8" i="5"/>
  <c r="B7" i="5"/>
  <c r="C6" i="5"/>
  <c r="B6" i="5"/>
  <c r="AD5" i="5"/>
  <c r="B5" i="5"/>
  <c r="X20" i="4"/>
  <c r="Y20" i="4" s="1"/>
  <c r="X19" i="4"/>
  <c r="U50" i="4"/>
  <c r="V18" i="4"/>
  <c r="W18" i="4" s="1"/>
  <c r="T16" i="4"/>
  <c r="S15" i="4"/>
  <c r="T15" i="4" s="1"/>
  <c r="S14" i="4"/>
  <c r="T51" i="4"/>
  <c r="U51" i="4" s="1"/>
  <c r="T17" i="4"/>
  <c r="T49" i="4"/>
  <c r="U49" i="4" s="1"/>
  <c r="G31" i="6"/>
  <c r="C13" i="6"/>
  <c r="C12" i="6"/>
  <c r="C11" i="6"/>
  <c r="C9" i="6"/>
  <c r="D9" i="6"/>
  <c r="C5" i="6"/>
  <c r="F6" i="6"/>
  <c r="H6" i="6" s="1"/>
  <c r="F112" i="6"/>
  <c r="C4" i="6"/>
  <c r="D4" i="6"/>
  <c r="G89" i="4"/>
  <c r="G101" i="4"/>
  <c r="G53" i="4"/>
  <c r="G65" i="4"/>
  <c r="D65" i="4"/>
  <c r="D114" i="4"/>
  <c r="D77" i="4"/>
  <c r="D89" i="4"/>
  <c r="D41" i="4"/>
  <c r="D53" i="4"/>
  <c r="G77" i="4"/>
  <c r="G114" i="4"/>
  <c r="AB25" i="5" l="1"/>
  <c r="V25" i="5"/>
  <c r="F25" i="5" s="1"/>
  <c r="AD26" i="5"/>
  <c r="AB26" i="5"/>
  <c r="V26" i="5"/>
  <c r="AB22" i="5"/>
  <c r="V22" i="5"/>
  <c r="H22" i="5" s="1"/>
  <c r="AC22" i="5"/>
  <c r="AD24" i="5"/>
  <c r="AB24" i="5"/>
  <c r="V24" i="5"/>
  <c r="G24" i="5" s="1"/>
  <c r="AC24" i="5"/>
  <c r="AD23" i="5"/>
  <c r="AB23" i="5"/>
  <c r="V23" i="5"/>
  <c r="AD21" i="5"/>
  <c r="AB21" i="5"/>
  <c r="V21" i="5"/>
  <c r="AC21" i="5"/>
  <c r="AD20" i="5"/>
  <c r="AB20" i="5"/>
  <c r="V20" i="5"/>
  <c r="G20" i="5" s="1"/>
  <c r="AC20" i="5"/>
  <c r="AD19" i="5"/>
  <c r="V19" i="5"/>
  <c r="AB19" i="5"/>
  <c r="AC19" i="5"/>
  <c r="AB17" i="5"/>
  <c r="V17" i="5"/>
  <c r="I17" i="5" s="1"/>
  <c r="AD18" i="5"/>
  <c r="V18" i="5"/>
  <c r="AB18" i="5"/>
  <c r="AB16" i="5"/>
  <c r="AD16" i="5"/>
  <c r="V16" i="5"/>
  <c r="AC16" i="5"/>
  <c r="V13" i="5"/>
  <c r="G13" i="5" s="1"/>
  <c r="AB13" i="5"/>
  <c r="AC15" i="5"/>
  <c r="V15" i="5"/>
  <c r="AB15" i="5"/>
  <c r="AD14" i="5"/>
  <c r="V14" i="5"/>
  <c r="G14" i="5" s="1"/>
  <c r="AB14" i="5"/>
  <c r="AC14" i="5"/>
  <c r="V11" i="5"/>
  <c r="F11" i="5" s="1"/>
  <c r="AD12" i="5"/>
  <c r="AB12" i="5"/>
  <c r="V12" i="5"/>
  <c r="G12" i="5" s="1"/>
  <c r="AC12" i="5"/>
  <c r="AC11" i="5"/>
  <c r="AB11" i="5"/>
  <c r="AB10" i="5"/>
  <c r="AD10" i="5"/>
  <c r="V10" i="5"/>
  <c r="G10" i="5" s="1"/>
  <c r="AC10" i="5"/>
  <c r="AD9" i="5"/>
  <c r="AB9" i="5"/>
  <c r="V9" i="5"/>
  <c r="G9" i="5" s="1"/>
  <c r="AD8" i="5"/>
  <c r="AB8" i="5"/>
  <c r="V8" i="5"/>
  <c r="G8" i="5" s="1"/>
  <c r="AC8" i="5"/>
  <c r="AC7" i="5"/>
  <c r="AB7" i="5"/>
  <c r="V7" i="5"/>
  <c r="AD6" i="5"/>
  <c r="AB6" i="5"/>
  <c r="V6" i="5"/>
  <c r="F124" i="6"/>
  <c r="C124" i="6" s="1"/>
  <c r="AC6" i="5"/>
  <c r="AC5" i="5"/>
  <c r="V5" i="5"/>
  <c r="AB5" i="5"/>
  <c r="V49" i="4"/>
  <c r="V48" i="4"/>
  <c r="W48" i="4" s="1"/>
  <c r="U15" i="4"/>
  <c r="X18" i="4"/>
  <c r="Y18" i="4" s="1"/>
  <c r="V51" i="4"/>
  <c r="W51" i="4" s="1"/>
  <c r="X51" i="4" s="1"/>
  <c r="Y51" i="4" s="1"/>
  <c r="Z51" i="4" s="1"/>
  <c r="AA51" i="4" s="1"/>
  <c r="V50" i="4"/>
  <c r="T14" i="4"/>
  <c r="U14" i="4" s="1"/>
  <c r="T13" i="4"/>
  <c r="Y19" i="4"/>
  <c r="Z19" i="4" s="1"/>
  <c r="U16" i="4"/>
  <c r="U17" i="4"/>
  <c r="V17" i="4" s="1"/>
  <c r="Z20" i="4"/>
  <c r="H112" i="6"/>
  <c r="C2" i="6"/>
  <c r="D6" i="6"/>
  <c r="C6" i="6"/>
  <c r="G25" i="5" l="1"/>
  <c r="H25" i="5"/>
  <c r="J25" i="5"/>
  <c r="I26" i="5"/>
  <c r="F26" i="5"/>
  <c r="E26" i="5"/>
  <c r="H26" i="5"/>
  <c r="R26" i="5"/>
  <c r="J26" i="5"/>
  <c r="I25" i="5"/>
  <c r="E25" i="5"/>
  <c r="X25" i="5" s="1"/>
  <c r="G26" i="5"/>
  <c r="R25" i="5"/>
  <c r="I22" i="5"/>
  <c r="R22" i="5"/>
  <c r="F22" i="5"/>
  <c r="E22" i="5"/>
  <c r="G22" i="5"/>
  <c r="J24" i="5"/>
  <c r="I24" i="5"/>
  <c r="F24" i="5"/>
  <c r="R24" i="5"/>
  <c r="E24" i="5"/>
  <c r="H24" i="5"/>
  <c r="J22" i="5"/>
  <c r="R23" i="5"/>
  <c r="H23" i="5"/>
  <c r="J23" i="5"/>
  <c r="F23" i="5"/>
  <c r="I23" i="5"/>
  <c r="E23" i="5"/>
  <c r="G23" i="5"/>
  <c r="X22" i="5"/>
  <c r="R21" i="5"/>
  <c r="F21" i="5"/>
  <c r="H21" i="5"/>
  <c r="E21" i="5"/>
  <c r="J21" i="5"/>
  <c r="I21" i="5"/>
  <c r="G21" i="5"/>
  <c r="I20" i="5"/>
  <c r="E20" i="5"/>
  <c r="F20" i="5"/>
  <c r="H20" i="5"/>
  <c r="J20" i="5"/>
  <c r="R20" i="5"/>
  <c r="R19" i="5"/>
  <c r="F19" i="5"/>
  <c r="H19" i="5"/>
  <c r="J19" i="5"/>
  <c r="I19" i="5"/>
  <c r="E19" i="5"/>
  <c r="G19" i="5"/>
  <c r="G17" i="5"/>
  <c r="J17" i="5"/>
  <c r="R18" i="5"/>
  <c r="H18" i="5"/>
  <c r="E18" i="5"/>
  <c r="F18" i="5"/>
  <c r="J18" i="5"/>
  <c r="I18" i="5"/>
  <c r="F17" i="5"/>
  <c r="E17" i="5"/>
  <c r="X17" i="5" s="1"/>
  <c r="G18" i="5"/>
  <c r="H17" i="5"/>
  <c r="R17" i="5"/>
  <c r="F13" i="5"/>
  <c r="J13" i="5"/>
  <c r="E13" i="5"/>
  <c r="I16" i="5"/>
  <c r="J16" i="5"/>
  <c r="E16" i="5"/>
  <c r="H16" i="5"/>
  <c r="R16" i="5"/>
  <c r="F16" i="5"/>
  <c r="H13" i="5"/>
  <c r="G16" i="5"/>
  <c r="I13" i="5"/>
  <c r="R13" i="5"/>
  <c r="G15" i="5"/>
  <c r="R15" i="5"/>
  <c r="I15" i="5"/>
  <c r="J15" i="5"/>
  <c r="H15" i="5"/>
  <c r="E15" i="5"/>
  <c r="F15" i="5"/>
  <c r="J14" i="5"/>
  <c r="H14" i="5"/>
  <c r="F14" i="5"/>
  <c r="E14" i="5"/>
  <c r="R14" i="5"/>
  <c r="I14" i="5"/>
  <c r="X13" i="5"/>
  <c r="G11" i="5"/>
  <c r="J11" i="5"/>
  <c r="H11" i="5"/>
  <c r="E11" i="5"/>
  <c r="I11" i="5"/>
  <c r="I12" i="5"/>
  <c r="H12" i="5"/>
  <c r="E12" i="5"/>
  <c r="F12" i="5"/>
  <c r="R12" i="5"/>
  <c r="J12" i="5"/>
  <c r="R11" i="5"/>
  <c r="H10" i="5"/>
  <c r="E10" i="5"/>
  <c r="F10" i="5"/>
  <c r="R10" i="5"/>
  <c r="J10" i="5"/>
  <c r="I10" i="5"/>
  <c r="E9" i="5"/>
  <c r="F9" i="5"/>
  <c r="R9" i="5"/>
  <c r="J9" i="5"/>
  <c r="I9" i="5"/>
  <c r="H9" i="5"/>
  <c r="R8" i="5"/>
  <c r="H8" i="5"/>
  <c r="J8" i="5"/>
  <c r="I8" i="5"/>
  <c r="E8" i="5"/>
  <c r="F8" i="5"/>
  <c r="R7" i="5"/>
  <c r="J7" i="5"/>
  <c r="I7" i="5"/>
  <c r="H7" i="5"/>
  <c r="E7" i="5"/>
  <c r="F7" i="5"/>
  <c r="G7" i="5"/>
  <c r="J6" i="5"/>
  <c r="I6" i="5"/>
  <c r="H6" i="5"/>
  <c r="E6" i="5"/>
  <c r="F6" i="5"/>
  <c r="R6" i="5"/>
  <c r="G6" i="5"/>
  <c r="I5" i="5"/>
  <c r="H5" i="5"/>
  <c r="E5" i="5"/>
  <c r="F5" i="5"/>
  <c r="J5" i="5"/>
  <c r="R5" i="5"/>
  <c r="G5" i="5"/>
  <c r="V14" i="4"/>
  <c r="V13" i="4"/>
  <c r="Z18" i="4"/>
  <c r="W50" i="4"/>
  <c r="X50" i="4" s="1"/>
  <c r="W49" i="4"/>
  <c r="X49" i="4" s="1"/>
  <c r="U13" i="4"/>
  <c r="U12" i="4"/>
  <c r="V12" i="4" s="1"/>
  <c r="AB51" i="4"/>
  <c r="AC51" i="4" s="1"/>
  <c r="W17" i="4"/>
  <c r="X17" i="4" s="1"/>
  <c r="V16" i="4"/>
  <c r="W16" i="4" s="1"/>
  <c r="V15" i="4"/>
  <c r="C112" i="6"/>
  <c r="D112" i="6"/>
  <c r="S11" i="5"/>
  <c r="S25" i="5"/>
  <c r="S22" i="5"/>
  <c r="S17" i="5"/>
  <c r="S13" i="5"/>
  <c r="X26" i="5" l="1"/>
  <c r="X24" i="5"/>
  <c r="X23" i="5"/>
  <c r="X21" i="5"/>
  <c r="X20" i="5"/>
  <c r="X19" i="5"/>
  <c r="X18" i="5"/>
  <c r="X16" i="5"/>
  <c r="X15" i="5"/>
  <c r="X14" i="5"/>
  <c r="X12" i="5"/>
  <c r="X11" i="5"/>
  <c r="X10" i="5"/>
  <c r="X9" i="5"/>
  <c r="X8" i="5"/>
  <c r="X7" i="5"/>
  <c r="X6" i="5"/>
  <c r="X5" i="5"/>
  <c r="G124" i="6" a="1"/>
  <c r="G124" i="6" s="1"/>
  <c r="H124" i="6" s="1"/>
  <c r="D124" i="6" s="1"/>
  <c r="X48" i="4"/>
  <c r="Y48" i="4" s="1"/>
  <c r="W15" i="4"/>
  <c r="X16" i="4" s="1"/>
  <c r="Y16" i="4" s="1"/>
  <c r="W14" i="4"/>
  <c r="W12" i="4"/>
  <c r="X12" i="4" s="1"/>
  <c r="W13" i="4"/>
  <c r="Y17" i="4"/>
  <c r="Z17" i="4" s="1"/>
  <c r="Y50" i="4"/>
  <c r="Z50" i="4" s="1"/>
  <c r="AA50" i="4" s="1"/>
  <c r="AB50" i="4" s="1"/>
  <c r="Y49" i="4"/>
  <c r="T11" i="5"/>
  <c r="S21" i="5"/>
  <c r="S20" i="5"/>
  <c r="S19" i="5"/>
  <c r="S26" i="5"/>
  <c r="S18" i="5"/>
  <c r="T13" i="5"/>
  <c r="T17" i="5"/>
  <c r="S16" i="5"/>
  <c r="T25" i="5"/>
  <c r="S15" i="5"/>
  <c r="S14" i="5"/>
  <c r="S8" i="5"/>
  <c r="S5" i="5"/>
  <c r="S12" i="5"/>
  <c r="S7" i="5"/>
  <c r="S10" i="5"/>
  <c r="S24" i="5"/>
  <c r="S9" i="5"/>
  <c r="S23" i="5"/>
  <c r="S6" i="5"/>
  <c r="T22" i="5"/>
  <c r="Z49" i="4" l="1"/>
  <c r="AA49" i="4" s="1"/>
  <c r="Z48" i="4"/>
  <c r="AA48" i="4" s="1"/>
  <c r="X15" i="4"/>
  <c r="AC50" i="4"/>
  <c r="X14" i="4"/>
  <c r="X13" i="4"/>
  <c r="T12" i="5"/>
  <c r="T10" i="5"/>
  <c r="T9" i="5"/>
  <c r="T8" i="5"/>
  <c r="T7" i="5"/>
  <c r="T6" i="5"/>
  <c r="T26" i="5"/>
  <c r="T24" i="5"/>
  <c r="T21" i="5"/>
  <c r="T23" i="5"/>
  <c r="T16" i="5"/>
  <c r="T20" i="5"/>
  <c r="T19" i="5"/>
  <c r="T18" i="5"/>
  <c r="T5" i="5"/>
  <c r="T15" i="5"/>
  <c r="T14" i="5"/>
  <c r="Y12" i="4" l="1"/>
  <c r="Z12" i="4" s="1"/>
  <c r="Y13" i="4"/>
  <c r="Y14" i="4"/>
  <c r="Y15" i="4"/>
  <c r="AB49" i="4"/>
  <c r="AC49" i="4" s="1"/>
  <c r="AB48" i="4"/>
  <c r="AC48" i="4" s="1"/>
  <c r="Z13" i="4" l="1"/>
  <c r="AA13" i="4" s="1" a="1"/>
  <c r="AA13" i="4" s="1"/>
  <c r="Z14" i="4"/>
  <c r="AA12" i="4"/>
  <c r="Z15" i="4"/>
  <c r="Z16" i="4"/>
  <c r="A115" i="6" l="1"/>
  <c r="G115" i="6" s="1"/>
  <c r="S43" i="4"/>
  <c r="B31" i="4"/>
  <c r="AA14" i="4" a="1"/>
  <c r="AA14" i="4" s="1"/>
  <c r="B30" i="4"/>
  <c r="A114" i="6"/>
  <c r="G114" i="6" s="1"/>
  <c r="S42" i="4"/>
  <c r="A116" i="6" l="1"/>
  <c r="G116" i="6" s="1"/>
  <c r="B32" i="4"/>
  <c r="B122" i="4"/>
  <c r="B80" i="4"/>
  <c r="B56" i="4"/>
  <c r="B68" i="4"/>
  <c r="B104" i="4"/>
  <c r="B92" i="4"/>
  <c r="A18" i="6"/>
  <c r="M31" i="4"/>
  <c r="O31" i="4"/>
  <c r="T43" i="4"/>
  <c r="T42" i="4"/>
  <c r="U42" i="4" s="1"/>
  <c r="O30" i="4"/>
  <c r="M30" i="4"/>
  <c r="G7" i="6"/>
  <c r="H7" i="6" s="1"/>
  <c r="A17" i="6"/>
  <c r="AA15" i="4" a="1"/>
  <c r="AA15" i="4" s="1"/>
  <c r="AA16" i="4" s="1" a="1"/>
  <c r="AA16" i="4" s="1"/>
  <c r="B34" i="4" l="1"/>
  <c r="A118" i="6"/>
  <c r="G118" i="6" s="1"/>
  <c r="S46" i="4"/>
  <c r="A100" i="6"/>
  <c r="M122" i="4"/>
  <c r="M32" i="4"/>
  <c r="O32" i="4"/>
  <c r="P44" i="4" s="1"/>
  <c r="B44" i="4" s="1"/>
  <c r="A19" i="6"/>
  <c r="F39" i="6"/>
  <c r="F28" i="6"/>
  <c r="H28" i="6" s="1"/>
  <c r="F17" i="6"/>
  <c r="H17" i="6" s="1"/>
  <c r="M92" i="4"/>
  <c r="A74" i="6"/>
  <c r="D7" i="6"/>
  <c r="C7" i="6"/>
  <c r="F29" i="6"/>
  <c r="H29" i="6" s="1"/>
  <c r="F40" i="6"/>
  <c r="F18" i="6"/>
  <c r="H18" i="6" s="1"/>
  <c r="A85" i="6"/>
  <c r="M104" i="4"/>
  <c r="S45" i="4"/>
  <c r="B33" i="4"/>
  <c r="A117" i="6"/>
  <c r="G117" i="6" s="1"/>
  <c r="P43" i="4"/>
  <c r="B43" i="4" s="1"/>
  <c r="P55" i="4"/>
  <c r="A52" i="6"/>
  <c r="M68" i="4"/>
  <c r="P42" i="4"/>
  <c r="B42" i="4" s="1"/>
  <c r="P54" i="4"/>
  <c r="A41" i="6"/>
  <c r="M56" i="4"/>
  <c r="AA17" i="4" a="1"/>
  <c r="AA17" i="4" s="1"/>
  <c r="A63" i="6"/>
  <c r="M80" i="4"/>
  <c r="B120" i="4" l="1"/>
  <c r="B102" i="4"/>
  <c r="B66" i="4"/>
  <c r="B78" i="4"/>
  <c r="B90" i="4"/>
  <c r="B54" i="4"/>
  <c r="A28" i="6"/>
  <c r="M42" i="4"/>
  <c r="D18" i="6"/>
  <c r="C18" i="6"/>
  <c r="D17" i="6"/>
  <c r="C17" i="6"/>
  <c r="K115" i="6"/>
  <c r="D29" i="6"/>
  <c r="C29" i="6"/>
  <c r="F50" i="6"/>
  <c r="F98" i="6"/>
  <c r="H98" i="6" s="1"/>
  <c r="H39" i="6"/>
  <c r="F114" i="6"/>
  <c r="F99" i="6"/>
  <c r="H99" i="6" s="1"/>
  <c r="H40" i="6"/>
  <c r="F115" i="6"/>
  <c r="H115" i="6" s="1"/>
  <c r="F51" i="6"/>
  <c r="O33" i="4"/>
  <c r="A20" i="6"/>
  <c r="M33" i="4"/>
  <c r="F41" i="6"/>
  <c r="F19" i="6"/>
  <c r="H19" i="6" s="1"/>
  <c r="F30" i="6"/>
  <c r="H30" i="6" s="1"/>
  <c r="A119" i="6"/>
  <c r="G119" i="6" s="1"/>
  <c r="B35" i="4"/>
  <c r="S47" i="4"/>
  <c r="T45" i="4"/>
  <c r="T44" i="4"/>
  <c r="M44" i="4"/>
  <c r="A30" i="6"/>
  <c r="D28" i="6"/>
  <c r="K114" i="6"/>
  <c r="C28" i="6"/>
  <c r="B103" i="4"/>
  <c r="B121" i="4"/>
  <c r="B91" i="4"/>
  <c r="B79" i="4"/>
  <c r="B55" i="4"/>
  <c r="B67" i="4"/>
  <c r="M43" i="4"/>
  <c r="A29" i="6"/>
  <c r="AA18" i="4" a="1"/>
  <c r="AA18" i="4" s="1"/>
  <c r="A21" i="6"/>
  <c r="O34" i="4"/>
  <c r="M34" i="4"/>
  <c r="P57" i="4" l="1"/>
  <c r="P45" i="4"/>
  <c r="B45" i="4" s="1"/>
  <c r="A84" i="6"/>
  <c r="M103" i="4"/>
  <c r="H51" i="6"/>
  <c r="F62" i="6"/>
  <c r="F61" i="6"/>
  <c r="H50" i="6"/>
  <c r="D30" i="6"/>
  <c r="K116" i="6"/>
  <c r="C30" i="6"/>
  <c r="D115" i="6"/>
  <c r="C115" i="6"/>
  <c r="D19" i="6"/>
  <c r="C19" i="6"/>
  <c r="C40" i="6"/>
  <c r="D40" i="6"/>
  <c r="M67" i="4"/>
  <c r="A51" i="6"/>
  <c r="F116" i="6"/>
  <c r="H116" i="6" s="1"/>
  <c r="F52" i="6"/>
  <c r="H41" i="6"/>
  <c r="F100" i="6"/>
  <c r="H100" i="6" s="1"/>
  <c r="D99" i="6"/>
  <c r="C99" i="6"/>
  <c r="A39" i="6"/>
  <c r="M54" i="4"/>
  <c r="M90" i="4"/>
  <c r="A72" i="6"/>
  <c r="P58" i="4"/>
  <c r="P46" i="4"/>
  <c r="B46" i="4" s="1"/>
  <c r="M55" i="4"/>
  <c r="A40" i="6"/>
  <c r="H114" i="6"/>
  <c r="B2" i="6"/>
  <c r="F32" i="6"/>
  <c r="H32" i="6" s="1"/>
  <c r="F43" i="6"/>
  <c r="F21" i="6"/>
  <c r="H21" i="6" s="1"/>
  <c r="A62" i="6"/>
  <c r="M79" i="4"/>
  <c r="T47" i="4"/>
  <c r="U47" i="4" s="1"/>
  <c r="T46" i="4"/>
  <c r="C39" i="6"/>
  <c r="D39" i="6"/>
  <c r="A61" i="6"/>
  <c r="M78" i="4"/>
  <c r="A120" i="6"/>
  <c r="B36" i="4"/>
  <c r="M91" i="4"/>
  <c r="A73" i="6"/>
  <c r="U44" i="4"/>
  <c r="U43" i="4"/>
  <c r="O35" i="4"/>
  <c r="M35" i="4"/>
  <c r="A22" i="6"/>
  <c r="F31" i="6"/>
  <c r="H31" i="6" s="1"/>
  <c r="F20" i="6"/>
  <c r="H20" i="6" s="1"/>
  <c r="F42" i="6"/>
  <c r="D98" i="6"/>
  <c r="C98" i="6"/>
  <c r="M66" i="4"/>
  <c r="A50" i="6"/>
  <c r="M102" i="4"/>
  <c r="A83" i="6"/>
  <c r="A99" i="6"/>
  <c r="M121" i="4"/>
  <c r="M120" i="4"/>
  <c r="A98" i="6"/>
  <c r="AA19" i="4" a="1"/>
  <c r="AA19" i="4" s="1"/>
  <c r="F101" i="6" l="1"/>
  <c r="H101" i="6" s="1"/>
  <c r="H42" i="6"/>
  <c r="F53" i="6"/>
  <c r="F117" i="6"/>
  <c r="H117" i="6" s="1"/>
  <c r="D50" i="6"/>
  <c r="C50" i="6"/>
  <c r="C31" i="6"/>
  <c r="K117" i="6"/>
  <c r="D31" i="6"/>
  <c r="M46" i="4"/>
  <c r="A32" i="6"/>
  <c r="C100" i="6"/>
  <c r="D100" i="6"/>
  <c r="H61" i="6"/>
  <c r="F72" i="6"/>
  <c r="D20" i="6"/>
  <c r="C20" i="6"/>
  <c r="F22" i="6"/>
  <c r="H22" i="6" s="1"/>
  <c r="F33" i="6"/>
  <c r="H33" i="6" s="1"/>
  <c r="F44" i="6"/>
  <c r="F94" i="6" s="1"/>
  <c r="M36" i="4"/>
  <c r="O36" i="4"/>
  <c r="A23" i="6"/>
  <c r="C21" i="6"/>
  <c r="D21" i="6"/>
  <c r="B106" i="4"/>
  <c r="B94" i="4"/>
  <c r="B82" i="4"/>
  <c r="B58" i="4"/>
  <c r="B70" i="4"/>
  <c r="B124" i="4"/>
  <c r="D41" i="6"/>
  <c r="C41" i="6"/>
  <c r="H62" i="6"/>
  <c r="F73" i="6"/>
  <c r="U45" i="4"/>
  <c r="U46" i="4"/>
  <c r="V47" i="4" s="1"/>
  <c r="W47" i="4" s="1"/>
  <c r="H43" i="6"/>
  <c r="F118" i="6"/>
  <c r="H118" i="6" s="1"/>
  <c r="F54" i="6"/>
  <c r="F102" i="6"/>
  <c r="H102" i="6" s="1"/>
  <c r="F63" i="6"/>
  <c r="H52" i="6"/>
  <c r="D51" i="6"/>
  <c r="C51" i="6"/>
  <c r="B37" i="4"/>
  <c r="A121" i="6"/>
  <c r="AA20" i="4" a="1"/>
  <c r="AA20" i="4" s="1"/>
  <c r="P47" i="4"/>
  <c r="B47" i="4" s="1"/>
  <c r="P59" i="4"/>
  <c r="D32" i="6"/>
  <c r="K118" i="6"/>
  <c r="C32" i="6"/>
  <c r="D116" i="6"/>
  <c r="C116" i="6"/>
  <c r="D114" i="6"/>
  <c r="C114" i="6"/>
  <c r="V42" i="4"/>
  <c r="W42" i="4" s="1"/>
  <c r="V43" i="4"/>
  <c r="A31" i="6"/>
  <c r="M45" i="4"/>
  <c r="V46" i="4"/>
  <c r="B81" i="4"/>
  <c r="B57" i="4"/>
  <c r="B123" i="4"/>
  <c r="B69" i="4"/>
  <c r="B93" i="4"/>
  <c r="B105" i="4"/>
  <c r="F109" i="6" l="1"/>
  <c r="H109" i="6" s="1"/>
  <c r="F110" i="6"/>
  <c r="H110" i="6" s="1"/>
  <c r="F111" i="6"/>
  <c r="H111" i="6" s="1"/>
  <c r="H94" i="6"/>
  <c r="F95" i="6"/>
  <c r="F108" i="6"/>
  <c r="H108" i="6" s="1"/>
  <c r="C102" i="6"/>
  <c r="D102" i="6"/>
  <c r="H54" i="6"/>
  <c r="F65" i="6"/>
  <c r="A64" i="6"/>
  <c r="M81" i="4"/>
  <c r="M124" i="4"/>
  <c r="A102" i="6"/>
  <c r="M37" i="4"/>
  <c r="A24" i="6"/>
  <c r="O37" i="4"/>
  <c r="C43" i="6"/>
  <c r="D43" i="6"/>
  <c r="A54" i="6"/>
  <c r="M70" i="4"/>
  <c r="P60" i="4"/>
  <c r="P48" i="4"/>
  <c r="B48" i="4" s="1"/>
  <c r="F83" i="6"/>
  <c r="H83" i="6" s="1"/>
  <c r="H72" i="6"/>
  <c r="X47" i="4"/>
  <c r="Y47" i="4" s="1"/>
  <c r="Z47" i="4" s="1"/>
  <c r="AA47" i="4" s="1"/>
  <c r="AB47" i="4" s="1"/>
  <c r="AC47" i="4" s="1"/>
  <c r="A43" i="6"/>
  <c r="M58" i="4"/>
  <c r="D61" i="6"/>
  <c r="C61" i="6"/>
  <c r="M123" i="4"/>
  <c r="A101" i="6"/>
  <c r="A33" i="6"/>
  <c r="M47" i="4"/>
  <c r="M105" i="4"/>
  <c r="A86" i="6"/>
  <c r="M82" i="4"/>
  <c r="A65" i="6"/>
  <c r="D52" i="6"/>
  <c r="C52" i="6"/>
  <c r="H73" i="6"/>
  <c r="F84" i="6"/>
  <c r="H84" i="6" s="1"/>
  <c r="A76" i="6"/>
  <c r="M94" i="4"/>
  <c r="D33" i="6"/>
  <c r="K119" i="6"/>
  <c r="C33" i="6"/>
  <c r="A122" i="6"/>
  <c r="B38" i="4"/>
  <c r="AA21" i="4" a="1"/>
  <c r="AA21" i="4" s="1"/>
  <c r="C118" i="6"/>
  <c r="D118" i="6"/>
  <c r="C101" i="6"/>
  <c r="D101" i="6"/>
  <c r="V45" i="4"/>
  <c r="W45" i="4" s="1"/>
  <c r="V44" i="4"/>
  <c r="F55" i="6"/>
  <c r="H44" i="6"/>
  <c r="F119" i="6"/>
  <c r="H119" i="6" s="1"/>
  <c r="F103" i="6"/>
  <c r="H103" i="6" s="1"/>
  <c r="A75" i="6"/>
  <c r="M93" i="4"/>
  <c r="M69" i="4"/>
  <c r="A53" i="6"/>
  <c r="B83" i="4"/>
  <c r="B59" i="4"/>
  <c r="B71" i="4"/>
  <c r="B107" i="4"/>
  <c r="B95" i="4"/>
  <c r="B125" i="4"/>
  <c r="H63" i="6"/>
  <c r="F74" i="6"/>
  <c r="C62" i="6"/>
  <c r="D62" i="6"/>
  <c r="M106" i="4"/>
  <c r="A87" i="6"/>
  <c r="C22" i="6"/>
  <c r="D22" i="6"/>
  <c r="D117" i="6"/>
  <c r="C117" i="6"/>
  <c r="H53" i="6"/>
  <c r="F64" i="6"/>
  <c r="D42" i="6"/>
  <c r="C42" i="6"/>
  <c r="M57" i="4"/>
  <c r="A42" i="6"/>
  <c r="W46" i="4" l="1"/>
  <c r="X46" i="4" s="1"/>
  <c r="A103" i="6"/>
  <c r="M125" i="4"/>
  <c r="B72" i="4"/>
  <c r="B126" i="4"/>
  <c r="B84" i="4"/>
  <c r="B60" i="4"/>
  <c r="B96" i="4"/>
  <c r="B108" i="4"/>
  <c r="A77" i="6"/>
  <c r="M95" i="4"/>
  <c r="M83" i="4"/>
  <c r="A66" i="6"/>
  <c r="D72" i="6"/>
  <c r="C72" i="6"/>
  <c r="F85" i="6"/>
  <c r="H85" i="6" s="1"/>
  <c r="H74" i="6"/>
  <c r="A88" i="6"/>
  <c r="M107" i="4"/>
  <c r="D103" i="6"/>
  <c r="C103" i="6"/>
  <c r="D108" i="6"/>
  <c r="C108" i="6"/>
  <c r="M71" i="4"/>
  <c r="A55" i="6"/>
  <c r="D119" i="6"/>
  <c r="C119" i="6"/>
  <c r="O38" i="4"/>
  <c r="M38" i="4"/>
  <c r="A25" i="6"/>
  <c r="D84" i="6"/>
  <c r="C84" i="6"/>
  <c r="F96" i="6"/>
  <c r="H96" i="6" s="1"/>
  <c r="H95" i="6"/>
  <c r="F75" i="6"/>
  <c r="H64" i="6"/>
  <c r="M59" i="4"/>
  <c r="A44" i="6"/>
  <c r="D44" i="6"/>
  <c r="C44" i="6"/>
  <c r="B39" i="4"/>
  <c r="A123" i="6"/>
  <c r="AA22" i="4"/>
  <c r="AA23" i="4" s="1"/>
  <c r="C73" i="6"/>
  <c r="D73" i="6"/>
  <c r="C94" i="6"/>
  <c r="D94" i="6"/>
  <c r="F66" i="6"/>
  <c r="H55" i="6"/>
  <c r="P61" i="4"/>
  <c r="P49" i="4"/>
  <c r="B49" i="4" s="1"/>
  <c r="D111" i="6"/>
  <c r="C111" i="6"/>
  <c r="C83" i="6"/>
  <c r="D83" i="6"/>
  <c r="H65" i="6"/>
  <c r="F76" i="6"/>
  <c r="C110" i="6"/>
  <c r="D110" i="6"/>
  <c r="D53" i="6"/>
  <c r="C53" i="6"/>
  <c r="W44" i="4"/>
  <c r="X45" i="4" s="1"/>
  <c r="Y45" i="4" s="1"/>
  <c r="W43" i="4"/>
  <c r="D63" i="6"/>
  <c r="C63" i="6"/>
  <c r="A34" i="6"/>
  <c r="M48" i="4"/>
  <c r="C54" i="6"/>
  <c r="D54" i="6"/>
  <c r="C109" i="6"/>
  <c r="D109" i="6"/>
  <c r="Y46" i="4" l="1"/>
  <c r="Z46" i="4" s="1"/>
  <c r="A45" i="6"/>
  <c r="M60" i="4"/>
  <c r="M84" i="4"/>
  <c r="A67" i="6"/>
  <c r="A104" i="6"/>
  <c r="M126" i="4"/>
  <c r="X42" i="4"/>
  <c r="Y42" i="4" s="1"/>
  <c r="X43" i="4"/>
  <c r="A35" i="6"/>
  <c r="M49" i="4"/>
  <c r="H75" i="6"/>
  <c r="F86" i="6"/>
  <c r="H86" i="6" s="1"/>
  <c r="B85" i="4"/>
  <c r="B109" i="4"/>
  <c r="B73" i="4"/>
  <c r="B61" i="4"/>
  <c r="B97" i="4"/>
  <c r="B127" i="4"/>
  <c r="C95" i="6"/>
  <c r="D95" i="6"/>
  <c r="M39" i="4"/>
  <c r="O39" i="4"/>
  <c r="A26" i="6"/>
  <c r="P50" i="4"/>
  <c r="B50" i="4" s="1"/>
  <c r="P62" i="4"/>
  <c r="A56" i="6"/>
  <c r="M72" i="4"/>
  <c r="H76" i="6"/>
  <c r="F87" i="6"/>
  <c r="H87" i="6" s="1"/>
  <c r="D55" i="6"/>
  <c r="C55" i="6"/>
  <c r="C96" i="6"/>
  <c r="D96" i="6"/>
  <c r="D74" i="6"/>
  <c r="C74" i="6"/>
  <c r="M108" i="4"/>
  <c r="A89" i="6"/>
  <c r="D64" i="6"/>
  <c r="C64" i="6"/>
  <c r="Q53" i="4"/>
  <c r="Q41" i="4"/>
  <c r="B41" i="4" s="1"/>
  <c r="A27" i="6" s="1"/>
  <c r="D65" i="6"/>
  <c r="C65" i="6"/>
  <c r="F77" i="6"/>
  <c r="H66" i="6"/>
  <c r="C85" i="6"/>
  <c r="D85" i="6"/>
  <c r="A78" i="6"/>
  <c r="M96" i="4"/>
  <c r="X44" i="4"/>
  <c r="Y43" i="4" l="1"/>
  <c r="Z43" i="4" s="1"/>
  <c r="A57" i="6"/>
  <c r="M73" i="4"/>
  <c r="A46" i="6"/>
  <c r="M61" i="4"/>
  <c r="H77" i="6"/>
  <c r="F88" i="6"/>
  <c r="H88" i="6" s="1"/>
  <c r="P51" i="4"/>
  <c r="B51" i="4" s="1"/>
  <c r="P63" i="4"/>
  <c r="A90" i="6"/>
  <c r="M109" i="4"/>
  <c r="M50" i="4"/>
  <c r="A36" i="6"/>
  <c r="A68" i="6"/>
  <c r="M85" i="4"/>
  <c r="D76" i="6"/>
  <c r="C76" i="6"/>
  <c r="C86" i="6"/>
  <c r="D86" i="6"/>
  <c r="Y44" i="4"/>
  <c r="B53" i="4"/>
  <c r="A38" i="6" s="1"/>
  <c r="B117" i="4"/>
  <c r="A95" i="6" s="1"/>
  <c r="B115" i="4"/>
  <c r="A94" i="6" s="1"/>
  <c r="B101" i="4"/>
  <c r="A82" i="6" s="1"/>
  <c r="B135" i="4"/>
  <c r="A110" i="6" s="1"/>
  <c r="B77" i="4"/>
  <c r="A60" i="6" s="1"/>
  <c r="B89" i="4"/>
  <c r="A71" i="6" s="1"/>
  <c r="B137" i="4"/>
  <c r="A111" i="6" s="1"/>
  <c r="B133" i="4"/>
  <c r="A109" i="6" s="1"/>
  <c r="B119" i="4"/>
  <c r="A97" i="6" s="1"/>
  <c r="B131" i="4"/>
  <c r="A108" i="6" s="1"/>
  <c r="B65" i="4"/>
  <c r="A49" i="6" s="1"/>
  <c r="D75" i="6"/>
  <c r="C75" i="6"/>
  <c r="C66" i="6"/>
  <c r="D66" i="6"/>
  <c r="A105" i="6"/>
  <c r="M127" i="4"/>
  <c r="C87" i="6"/>
  <c r="D87" i="6"/>
  <c r="B74" i="4"/>
  <c r="B98" i="4"/>
  <c r="B86" i="4"/>
  <c r="B110" i="4"/>
  <c r="B62" i="4"/>
  <c r="B128" i="4"/>
  <c r="A79" i="6"/>
  <c r="M97" i="4"/>
  <c r="Z42" i="4" l="1"/>
  <c r="AA42" i="4" s="1"/>
  <c r="A37" i="6"/>
  <c r="M51" i="4"/>
  <c r="C88" i="6"/>
  <c r="D88" i="6"/>
  <c r="H125" i="6"/>
  <c r="D2" i="6" s="1"/>
  <c r="Z45" i="4"/>
  <c r="Z44" i="4"/>
  <c r="C77" i="6"/>
  <c r="D77" i="6"/>
  <c r="M110" i="4"/>
  <c r="A91" i="6"/>
  <c r="A69" i="6"/>
  <c r="M86" i="4"/>
  <c r="B63" i="4"/>
  <c r="B111" i="4"/>
  <c r="B99" i="4"/>
  <c r="B87" i="4"/>
  <c r="B129" i="4"/>
  <c r="B75" i="4"/>
  <c r="M98" i="4"/>
  <c r="A80" i="6"/>
  <c r="A106" i="6"/>
  <c r="M128" i="4"/>
  <c r="M62" i="4"/>
  <c r="A47" i="6"/>
  <c r="A58" i="6"/>
  <c r="M74" i="4"/>
  <c r="AA45" i="4" l="1"/>
  <c r="AA46" i="4"/>
  <c r="AB46" i="4" s="1"/>
  <c r="AA43" i="4"/>
  <c r="AA44" i="4"/>
  <c r="M63" i="4"/>
  <c r="A48" i="6"/>
  <c r="M99" i="4"/>
  <c r="A81" i="6"/>
  <c r="A59" i="6"/>
  <c r="M75" i="4"/>
  <c r="M111" i="4"/>
  <c r="A92" i="6"/>
  <c r="A107" i="6"/>
  <c r="M129" i="4"/>
  <c r="A70" i="6"/>
  <c r="M87" i="4"/>
  <c r="AB44" i="4" l="1"/>
  <c r="AB45" i="4"/>
  <c r="AC45" i="4" s="1"/>
  <c r="AB43" i="4"/>
  <c r="AC44" i="4" s="1"/>
  <c r="AB42" i="4"/>
  <c r="AC42" i="4" s="1"/>
  <c r="AC46" i="4" l="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<sst xmlns="http://schemas.openxmlformats.org/spreadsheetml/2006/main" count="28533" uniqueCount="20171">
  <si>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</si>
  <si>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</si>
  <si>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</si>
  <si>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</si>
  <si>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</si>
  <si>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</si>
  <si>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</si>
  <si>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</si>
  <si>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</si>
  <si>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</si>
  <si>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</si>
  <si>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</si>
  <si>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</si>
  <si>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</si>
  <si>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</si>
  <si>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</si>
  <si>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</si>
  <si>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</si>
  <si>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</si>
  <si>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</si>
  <si>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</si>
  <si>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</si>
  <si>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</si>
  <si>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</si>
  <si>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</si>
  <si>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</si>
  <si>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</si>
  <si>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</si>
  <si>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</si>
  <si>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</si>
  <si>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</si>
  <si>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</si>
  <si>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</si>
  <si>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</si>
  <si>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</si>
  <si>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</si>
  <si>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</si>
  <si>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</si>
  <si>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</si>
  <si>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</si>
  <si>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</si>
  <si>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</si>
  <si>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</si>
  <si>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</si>
  <si>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</si>
  <si>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</si>
  <si>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</si>
  <si>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</si>
  <si>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</si>
  <si>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</si>
  <si>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</si>
  <si>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</si>
  <si>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</si>
  <si>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</si>
  <si>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</si>
  <si>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</si>
  <si>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</si>
  <si>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</si>
  <si>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</si>
  <si>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</si>
  <si>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</si>
  <si>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</si>
  <si>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</si>
  <si>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</si>
  <si>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</si>
  <si>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</si>
  <si>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</si>
  <si>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</si>
  <si>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</si>
  <si>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</si>
  <si>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</si>
  <si>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</si>
  <si>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</si>
  <si>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</si>
  <si>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</si>
  <si>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</si>
  <si>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</si>
  <si>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</si>
  <si>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</si>
  <si>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</si>
  <si>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</si>
  <si>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</si>
  <si>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</si>
  <si>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</si>
  <si>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</si>
  <si>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</si>
  <si>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</si>
  <si>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</si>
  <si>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</si>
  <si>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</si>
  <si>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</si>
  <si>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</si>
  <si>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</si>
  <si>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</si>
  <si>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</si>
  <si>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</si>
  <si>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</si>
  <si>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</si>
  <si>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</si>
  <si>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</si>
  <si>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</si>
  <si>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</si>
  <si>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</si>
  <si>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</si>
  <si>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</si>
  <si>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</si>
  <si>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</si>
  <si>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</si>
  <si>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</si>
  <si>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</si>
  <si>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</si>
  <si>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</si>
  <si>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</si>
  <si>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</si>
  <si>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</si>
  <si>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</si>
  <si>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</si>
  <si>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</si>
  <si>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</si>
  <si>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</si>
  <si>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</si>
  <si>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</si>
  <si>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</si>
  <si>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</si>
  <si>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</si>
  <si>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</si>
  <si>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</si>
  <si>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</si>
  <si>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</si>
  <si>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</si>
  <si>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</si>
  <si>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</si>
  <si>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</si>
  <si>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</si>
  <si>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</si>
  <si>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</si>
  <si>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</si>
  <si>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</si>
  <si>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</si>
  <si>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</si>
  <si>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</si>
  <si>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</si>
  <si>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</si>
  <si>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</si>
  <si>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</si>
  <si>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</si>
  <si>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</si>
  <si>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</si>
  <si>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</si>
  <si>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</si>
  <si>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</si>
  <si>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</si>
  <si>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</si>
  <si>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</si>
  <si>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</si>
  <si>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</si>
  <si>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</si>
  <si>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</si>
  <si>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</si>
  <si>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</si>
  <si>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</si>
  <si>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</si>
  <si>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</si>
  <si>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</si>
  <si>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</si>
  <si>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</si>
  <si>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</si>
  <si>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</si>
  <si>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</si>
  <si>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</si>
  <si>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</si>
  <si>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</si>
  <si>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</si>
  <si>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</si>
  <si>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</si>
  <si>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</si>
  <si>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</si>
  <si>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</si>
  <si>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</si>
  <si>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</si>
  <si>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</si>
  <si>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</si>
  <si>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</si>
  <si>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</si>
  <si>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</si>
  <si>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</si>
  <si>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</si>
  <si>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</si>
  <si>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</si>
  <si>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</si>
  <si>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</si>
  <si>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</si>
  <si>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</si>
  <si>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</si>
  <si>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</si>
  <si>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</si>
  <si>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</si>
  <si>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</si>
  <si>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</si>
  <si>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</si>
  <si>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</si>
  <si>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</si>
  <si>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</si>
  <si>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</si>
  <si>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</si>
  <si>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</si>
  <si>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</si>
  <si>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</si>
  <si>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</si>
  <si>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</si>
  <si>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</si>
  <si>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</si>
  <si>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</si>
  <si>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</si>
  <si>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</si>
  <si>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</si>
  <si>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</si>
  <si>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</si>
  <si>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</si>
  <si>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</si>
  <si>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</si>
  <si>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</si>
  <si>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</si>
  <si>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</si>
  <si>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</si>
  <si>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</si>
  <si>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</si>
  <si>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</si>
  <si>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</si>
  <si>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</si>
  <si>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</si>
  <si>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</si>
  <si>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</si>
  <si>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</si>
  <si>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</si>
  <si>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</si>
  <si>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</si>
  <si>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</si>
  <si>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</si>
  <si>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</si>
  <si>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</si>
  <si>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</si>
  <si>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</si>
  <si>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</si>
  <si>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</si>
  <si>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</si>
  <si>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</si>
  <si>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</si>
  <si>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</si>
  <si>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</si>
  <si>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</si>
  <si>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</si>
  <si>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</si>
  <si>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</si>
  <si>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</si>
  <si>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</si>
  <si>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</si>
  <si>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</si>
  <si>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</si>
  <si>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</si>
  <si>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</si>
  <si>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</si>
  <si>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</si>
  <si>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</si>
  <si>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</si>
  <si>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</si>
  <si>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</si>
  <si>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</si>
  <si>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</si>
  <si>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</si>
  <si>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</si>
  <si>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</si>
  <si>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</si>
  <si>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</si>
  <si>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</si>
  <si>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</si>
  <si>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</si>
  <si>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</si>
  <si>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</si>
  <si>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</si>
  <si>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</si>
  <si>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</si>
  <si>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</si>
  <si>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</si>
  <si>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</si>
  <si>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</si>
  <si>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</si>
  <si>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</si>
  <si>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</si>
  <si>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</si>
  <si>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</si>
  <si>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</si>
  <si>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</si>
  <si>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</si>
  <si>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</si>
  <si>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</si>
  <si>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</si>
  <si>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</si>
  <si>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</si>
  <si>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</si>
  <si>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</si>
  <si>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</si>
  <si>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</si>
  <si>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</si>
  <si>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</si>
  <si>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</si>
  <si>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</si>
  <si>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</si>
  <si>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</si>
  <si>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</si>
  <si>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</si>
  <si>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</si>
  <si>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</si>
  <si>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</si>
  <si>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</si>
  <si>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</si>
  <si>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</si>
  <si>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</si>
  <si>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</si>
  <si>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</si>
  <si>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</si>
  <si>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</si>
  <si>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</si>
  <si>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</si>
  <si>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</si>
  <si>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</si>
  <si>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</si>
  <si>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</si>
  <si>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</si>
  <si>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</si>
  <si>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</si>
  <si>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</si>
  <si>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</si>
  <si>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</si>
  <si>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</si>
  <si>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</si>
  <si>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</si>
  <si>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</si>
  <si>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</si>
  <si>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</si>
  <si>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</si>
  <si>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</si>
  <si>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</si>
  <si>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</si>
  <si>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</si>
  <si>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</si>
  <si>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</si>
  <si>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</si>
  <si>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</si>
  <si>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</si>
  <si>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</si>
  <si>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</si>
  <si>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</si>
  <si>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</si>
  <si>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</si>
  <si>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</si>
  <si>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</si>
  <si>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</si>
  <si>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</si>
  <si>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</si>
  <si>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</si>
  <si>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</si>
  <si>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</si>
  <si>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</si>
  <si>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</si>
  <si>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</si>
  <si>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</si>
  <si>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</si>
  <si>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</si>
  <si>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</si>
  <si>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</si>
  <si>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</si>
  <si>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</si>
  <si>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</si>
  <si>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</si>
  <si>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</si>
  <si>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</si>
  <si>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</si>
  <si>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</si>
  <si>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</si>
  <si>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</si>
  <si>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</si>
  <si>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</si>
  <si>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</si>
  <si>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</si>
  <si>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</si>
  <si>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</si>
  <si>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</si>
  <si>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</si>
  <si>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</si>
  <si>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</si>
  <si>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</si>
  <si>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</si>
  <si>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</si>
  <si>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</si>
  <si>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</si>
  <si>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</si>
  <si>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</si>
  <si>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</si>
  <si>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</si>
  <si>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</si>
  <si>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</si>
  <si>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</si>
  <si>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</si>
  <si>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</si>
  <si>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</si>
  <si>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</si>
  <si>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</si>
  <si>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</si>
  <si>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</si>
  <si>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</si>
  <si>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</si>
  <si>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</si>
  <si>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</si>
  <si>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</si>
  <si>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</si>
  <si>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</si>
  <si>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</si>
  <si>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</si>
  <si>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</si>
  <si>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</si>
  <si>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</si>
  <si>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</si>
  <si>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</si>
  <si>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</si>
  <si>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</si>
  <si>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</si>
  <si>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</si>
  <si>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</si>
  <si>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</si>
  <si>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</si>
  <si>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</si>
  <si>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</si>
  <si>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</si>
  <si>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</si>
  <si>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</si>
  <si>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</si>
  <si>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</si>
  <si>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</si>
  <si>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</si>
  <si>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</si>
  <si>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</si>
  <si>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</si>
  <si>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</si>
  <si>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</si>
  <si>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</si>
  <si>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</si>
  <si>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</si>
  <si>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</si>
  <si>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</si>
  <si>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</si>
  <si>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</si>
  <si>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</si>
  <si>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</si>
  <si>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</si>
  <si>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</si>
  <si>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</si>
  <si>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</si>
  <si>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</si>
  <si>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</si>
  <si>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</si>
  <si>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</si>
  <si>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</si>
  <si>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</si>
  <si>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</si>
  <si>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</si>
  <si>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</si>
  <si>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</si>
  <si>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</si>
  <si>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</si>
  <si>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</si>
  <si>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</si>
  <si>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</si>
  <si>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</si>
  <si>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</si>
  <si>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</si>
  <si>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</si>
  <si>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</si>
  <si>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</si>
  <si>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</si>
  <si>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</si>
  <si>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</si>
  <si>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</si>
  <si>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</si>
  <si>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</si>
  <si>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</si>
  <si>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</si>
  <si>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</si>
  <si>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</si>
  <si>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</si>
  <si>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</si>
  <si>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</si>
  <si>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</si>
  <si>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</si>
  <si>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</si>
  <si>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</si>
  <si>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</si>
  <si>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</si>
  <si>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</si>
  <si>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</si>
  <si>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</si>
  <si>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</si>
  <si>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</si>
  <si>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</si>
  <si>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</si>
  <si>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</si>
  <si>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</si>
  <si>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</si>
  <si>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</si>
  <si>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</si>
  <si>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</si>
  <si>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</si>
  <si>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</si>
  <si>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</si>
  <si>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</si>
  <si>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</si>
  <si>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</si>
  <si>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</si>
  <si>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</si>
  <si>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</si>
  <si>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</si>
  <si>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</si>
  <si>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</si>
  <si>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</si>
  <si>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</si>
  <si>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</si>
  <si>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</si>
  <si>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</si>
  <si>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</si>
  <si>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</si>
  <si>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</si>
  <si>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</si>
  <si>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</si>
  <si>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</si>
  <si>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</si>
  <si>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</si>
  <si>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</si>
  <si>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</si>
  <si>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</si>
  <si>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</si>
  <si>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</si>
  <si>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</si>
  <si>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</si>
  <si>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</si>
  <si>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</si>
  <si>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</si>
  <si>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</si>
  <si>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</si>
  <si>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</si>
  <si>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</si>
  <si>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</si>
  <si>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</si>
  <si>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</si>
  <si>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</si>
  <si>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</si>
  <si>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</si>
  <si>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</si>
  <si>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</si>
  <si>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</si>
  <si>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</si>
  <si>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</si>
  <si>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</si>
  <si>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</si>
  <si>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</si>
  <si>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</si>
  <si>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</si>
  <si>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</si>
  <si>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</si>
  <si>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</si>
  <si>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</si>
  <si>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</si>
  <si>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</si>
  <si>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</si>
  <si>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</si>
  <si>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</si>
  <si>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</si>
  <si>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</si>
  <si>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</si>
  <si>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</si>
  <si>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</si>
  <si>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</si>
  <si>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</si>
  <si>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</si>
  <si>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</si>
  <si>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</si>
  <si>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</si>
  <si>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</si>
  <si>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</si>
  <si>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</si>
  <si>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</si>
  <si>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</si>
  <si>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</si>
  <si>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</si>
  <si>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</si>
  <si>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</si>
  <si>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</si>
  <si>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</si>
  <si>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</si>
  <si>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</si>
  <si>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</si>
  <si>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</si>
  <si>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</si>
  <si>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</si>
  <si>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</si>
  <si>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</si>
  <si>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</si>
  <si>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</si>
  <si>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</si>
  <si>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</si>
  <si>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</si>
  <si>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</si>
  <si>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</si>
  <si>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</si>
  <si>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</si>
  <si>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</si>
  <si>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</si>
  <si>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</si>
  <si>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</si>
  <si>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</si>
  <si>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</si>
  <si>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</si>
  <si>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</si>
  <si>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</si>
  <si>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</si>
  <si>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</si>
  <si>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</si>
  <si>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</si>
  <si>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</si>
  <si>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</si>
  <si>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</si>
  <si>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</si>
  <si>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</si>
  <si>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</si>
  <si>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</si>
  <si>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</si>
  <si>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</si>
  <si>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</si>
  <si>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</si>
  <si>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</si>
  <si>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</si>
  <si>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</si>
  <si>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</si>
  <si>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</si>
  <si>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</si>
  <si>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</si>
  <si>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</si>
  <si>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</si>
  <si>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</si>
  <si>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</si>
  <si>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</si>
  <si>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</si>
  <si>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</si>
  <si>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</si>
  <si>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</si>
  <si>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</si>
  <si>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</si>
  <si>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</si>
  <si>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</si>
  <si>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</si>
  <si>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</si>
  <si>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</si>
  <si>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</si>
  <si>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</si>
  <si>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</si>
  <si>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</si>
  <si>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</si>
  <si>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</si>
  <si>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</si>
  <si>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</si>
  <si>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</si>
  <si>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</si>
  <si>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</si>
  <si>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</si>
  <si>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</si>
  <si>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</si>
  <si>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</si>
  <si>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</si>
  <si>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</si>
  <si>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</si>
  <si>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</si>
  <si>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</si>
  <si>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</si>
  <si>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</si>
  <si>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</si>
  <si>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</si>
  <si>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</si>
  <si>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</si>
  <si>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</si>
  <si>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</si>
  <si>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</si>
  <si>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</si>
  <si>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</si>
  <si>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</si>
  <si>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</si>
  <si>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</si>
  <si>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</si>
  <si>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</si>
  <si>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</si>
  <si>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</si>
  <si>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</si>
  <si>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</si>
  <si>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</si>
  <si>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</si>
  <si>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</si>
  <si>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</si>
  <si>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</si>
  <si>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</si>
  <si>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</si>
  <si>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</si>
  <si>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</si>
  <si>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</si>
  <si>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</si>
  <si>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</si>
  <si>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</si>
  <si>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</si>
  <si>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</si>
  <si>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</si>
  <si>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</si>
  <si>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</si>
  <si>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</si>
  <si>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</si>
  <si>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</si>
  <si>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</si>
  <si>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</si>
  <si>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</si>
  <si>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</si>
  <si>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</si>
  <si>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</si>
  <si>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</si>
  <si>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</si>
  <si>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</si>
  <si>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</si>
  <si>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</si>
  <si>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</si>
  <si>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</si>
  <si>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</si>
  <si>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</si>
  <si>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</si>
  <si>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</si>
  <si>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</si>
  <si>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</si>
  <si>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</si>
  <si>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</si>
  <si>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</si>
  <si>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</si>
  <si>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</si>
  <si>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</si>
  <si>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</si>
  <si>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</si>
  <si>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</si>
  <si>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</si>
  <si>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</si>
  <si>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</si>
  <si>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</si>
  <si>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</si>
  <si>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</si>
  <si>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</si>
  <si>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</si>
  <si>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</si>
  <si>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</si>
  <si>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</si>
  <si>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</si>
  <si>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</si>
  <si>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</si>
  <si>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</si>
  <si>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</si>
  <si>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</si>
  <si>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</si>
  <si>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</si>
  <si>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</si>
  <si>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</si>
  <si>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</si>
  <si>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</si>
  <si>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</si>
  <si>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</si>
  <si>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</si>
  <si>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</si>
  <si>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</si>
  <si>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</si>
  <si>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</si>
  <si>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</si>
  <si>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</si>
  <si>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</si>
  <si>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</si>
  <si>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</si>
  <si>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</si>
  <si>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</si>
  <si>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</si>
  <si>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</si>
  <si>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</si>
  <si>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</si>
  <si>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</si>
  <si>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</si>
  <si>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</si>
  <si>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</si>
  <si>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</si>
  <si>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</si>
  <si>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</si>
  <si>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</si>
  <si>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</si>
  <si>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</si>
  <si>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</si>
  <si>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</si>
  <si>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</si>
  <si>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</si>
  <si>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</si>
  <si>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</si>
  <si>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</si>
  <si>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</si>
  <si>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</si>
  <si>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</si>
  <si>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</si>
  <si>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</si>
  <si>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</si>
  <si>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</si>
  <si>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</si>
  <si>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</si>
  <si>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</si>
  <si>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</si>
  <si>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</si>
  <si>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</si>
  <si>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</si>
  <si>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</si>
  <si>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</si>
  <si>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</si>
  <si>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</si>
  <si>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</si>
  <si>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</si>
  <si>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</si>
  <si>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</si>
  <si>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</si>
  <si>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</si>
  <si>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</si>
  <si>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</si>
  <si>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</si>
  <si>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</si>
  <si>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</si>
  <si>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</si>
  <si>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</si>
  <si>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</si>
  <si>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</si>
  <si>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</si>
  <si>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</si>
  <si>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</si>
  <si>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</si>
  <si>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</si>
  <si>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</si>
  <si>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</si>
  <si>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</si>
  <si>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</si>
  <si>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</si>
  <si>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</si>
  <si>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</si>
  <si>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</si>
  <si>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</si>
  <si>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</si>
  <si>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</si>
  <si>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</si>
  <si>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</si>
  <si>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</si>
  <si>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</si>
  <si>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</si>
  <si>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</si>
  <si>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</si>
  <si>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</si>
  <si>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</si>
  <si>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</si>
  <si>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</si>
  <si>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</si>
  <si>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</si>
  <si>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</si>
  <si>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</si>
  <si>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</si>
  <si>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</si>
  <si>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</si>
  <si>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</si>
  <si>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</si>
  <si>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</si>
  <si>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</si>
  <si>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</si>
  <si>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</si>
  <si>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</si>
  <si>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</si>
  <si>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</si>
  <si>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</si>
  <si>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</si>
  <si>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</si>
  <si>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</si>
  <si>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</si>
  <si>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</si>
  <si>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</si>
  <si>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</si>
  <si>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</si>
  <si>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</si>
  <si>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</si>
  <si>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</si>
  <si>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</si>
  <si>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</si>
  <si>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</si>
  <si>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</si>
  <si>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</si>
  <si>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</si>
  <si>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</si>
  <si>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</si>
  <si>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</si>
  <si>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</si>
  <si>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</si>
  <si>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</si>
  <si>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</si>
  <si>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</si>
  <si>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</si>
  <si>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</si>
  <si>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</si>
  <si>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</si>
  <si>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</si>
  <si>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</si>
  <si>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</si>
  <si>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</si>
  <si>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</si>
  <si>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</si>
  <si>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</si>
  <si>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</si>
  <si>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</si>
  <si>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</si>
  <si>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</si>
  <si>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</si>
  <si>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</si>
  <si>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</si>
  <si>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</si>
  <si>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</si>
  <si>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</si>
  <si>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</si>
  <si>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</si>
  <si>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</si>
  <si>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</si>
  <si>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</si>
  <si>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</si>
  <si>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</si>
  <si>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</si>
  <si>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</si>
  <si>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</si>
  <si>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</si>
  <si>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</si>
  <si>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</si>
  <si>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</si>
  <si>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</si>
  <si>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</si>
  <si>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</si>
  <si>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</si>
  <si>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</si>
  <si>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</si>
  <si>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</si>
  <si>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</si>
  <si>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</si>
  <si>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</si>
  <si>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</si>
  <si>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</si>
  <si>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</si>
  <si>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</si>
  <si>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</si>
  <si>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</si>
  <si>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</si>
  <si>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</si>
  <si>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</si>
  <si>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</si>
  <si>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</si>
  <si>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</si>
  <si>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</si>
  <si>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</si>
  <si>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</si>
  <si>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</si>
  <si>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</si>
  <si>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</si>
  <si>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</si>
  <si>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</si>
  <si>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</si>
  <si>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</si>
  <si>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</si>
  <si>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</si>
  <si>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</si>
  <si>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</si>
  <si>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</si>
  <si>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</si>
  <si>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</si>
  <si>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</si>
  <si>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</si>
  <si>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</si>
  <si>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</si>
  <si>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</si>
  <si>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</si>
  <si>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</si>
  <si>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</si>
  <si>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</si>
  <si>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</si>
  <si>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</si>
  <si>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</si>
  <si>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</si>
  <si>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</si>
  <si>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</si>
  <si>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</si>
  <si>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</si>
  <si>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</si>
  <si>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</si>
  <si>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</si>
  <si>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</si>
  <si>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</si>
  <si>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</si>
  <si>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</si>
  <si>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</si>
  <si>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</si>
  <si>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</si>
  <si>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</si>
  <si>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</si>
  <si>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</si>
  <si>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</si>
  <si>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</si>
  <si>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</si>
  <si>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</si>
  <si>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</si>
  <si>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</si>
  <si>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</si>
  <si>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</si>
  <si>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</si>
  <si>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</si>
  <si>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</si>
  <si>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</si>
  <si>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</si>
  <si>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</si>
  <si>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</si>
  <si>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</si>
  <si>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</si>
  <si>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</si>
  <si>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</si>
  <si>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</si>
  <si>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</si>
  <si>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</si>
  <si>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</si>
  <si>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</si>
  <si>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</si>
  <si>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</si>
  <si>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</si>
  <si>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</si>
  <si>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</si>
  <si>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</si>
  <si>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</si>
  <si>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</si>
  <si>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</si>
  <si>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</si>
  <si>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</si>
  <si>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</si>
  <si>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</si>
  <si>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</si>
  <si>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</si>
  <si>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</si>
  <si>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</si>
  <si>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</si>
  <si>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</si>
  <si>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</si>
  <si>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</si>
  <si>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</si>
  <si>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</si>
  <si>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</si>
  <si>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</si>
  <si>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</si>
  <si>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</si>
  <si>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</si>
  <si>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</si>
  <si>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</si>
  <si>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</si>
  <si>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</si>
  <si>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</si>
  <si>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</si>
  <si>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</si>
  <si>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</si>
  <si>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</si>
  <si>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</si>
  <si>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</si>
  <si>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</si>
  <si>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</si>
  <si>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</si>
  <si>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</si>
  <si>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</si>
  <si>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</si>
  <si>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</si>
  <si>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</si>
  <si>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</si>
  <si>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</si>
  <si>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</si>
  <si>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</si>
  <si>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</si>
  <si>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</si>
  <si>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</si>
  <si>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</si>
  <si>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</si>
  <si>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</si>
  <si>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</si>
  <si>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</si>
  <si>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</si>
  <si>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</si>
  <si>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</si>
  <si>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</si>
  <si>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</si>
  <si>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</si>
  <si>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</si>
  <si>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</si>
  <si>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</si>
  <si>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</si>
  <si>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</si>
  <si>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</si>
  <si>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</si>
  <si>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</si>
  <si>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</si>
  <si>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</si>
  <si>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</si>
  <si>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</si>
  <si>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</si>
  <si>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</si>
  <si>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</si>
  <si>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</si>
  <si>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</si>
  <si>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</si>
  <si>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</si>
  <si>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</si>
  <si>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</si>
  <si>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</si>
  <si>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</si>
  <si>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</si>
  <si>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</si>
  <si>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</si>
  <si>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</si>
  <si>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</si>
  <si>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</si>
  <si>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</si>
  <si>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</si>
  <si>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</si>
  <si>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</si>
  <si>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</si>
  <si>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</si>
  <si>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</si>
  <si>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</si>
  <si>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</si>
  <si>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</si>
  <si>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</si>
  <si>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</si>
  <si>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</si>
  <si>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</si>
  <si>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</si>
  <si>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</si>
  <si>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</si>
  <si>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</si>
  <si>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</si>
  <si>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</si>
  <si>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</si>
  <si>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</si>
  <si>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</si>
  <si>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</si>
  <si>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</si>
  <si>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</si>
  <si>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</si>
  <si>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</si>
  <si>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</si>
  <si>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</si>
  <si>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</si>
  <si>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</si>
  <si>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</si>
  <si>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</si>
  <si>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</si>
  <si>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</si>
  <si>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</si>
  <si>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</si>
  <si>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</si>
  <si>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</si>
  <si>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</si>
  <si>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</si>
  <si>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</si>
  <si>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</si>
  <si>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</si>
  <si>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</si>
  <si>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</si>
  <si>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</si>
  <si>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</si>
  <si>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</si>
  <si>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</si>
  <si>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</si>
  <si>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</si>
  <si>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</si>
  <si>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</si>
  <si>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</si>
  <si>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</si>
  <si>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</si>
  <si>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</si>
  <si>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</si>
  <si>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</si>
  <si>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</si>
  <si>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</si>
  <si>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</si>
  <si>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</si>
  <si>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</si>
  <si>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</si>
  <si>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</si>
  <si>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</si>
  <si>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</si>
  <si>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</si>
  <si>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</si>
  <si>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</si>
  <si>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</si>
  <si>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</si>
  <si>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</si>
  <si>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</si>
  <si>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</si>
  <si>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</si>
  <si>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</si>
  <si>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</si>
  <si>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</si>
  <si>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</si>
  <si>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</si>
  <si>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</si>
  <si>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</si>
  <si>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</si>
  <si>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</si>
  <si>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</si>
  <si>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</si>
  <si>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</si>
  <si>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</si>
  <si>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</si>
  <si>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</si>
  <si>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</si>
  <si>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</si>
  <si>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</si>
  <si>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</si>
  <si>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</si>
  <si>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</si>
  <si>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</si>
  <si>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</si>
  <si>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</si>
  <si>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</si>
  <si>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</si>
  <si>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</si>
  <si>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</si>
  <si>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</si>
  <si>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</si>
  <si>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</si>
  <si>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</si>
  <si>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</si>
  <si>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</si>
  <si>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</si>
  <si>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</si>
  <si>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</si>
  <si>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</si>
  <si>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</si>
  <si>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</si>
  <si>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</si>
  <si>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</si>
  <si>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</si>
  <si>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</si>
  <si>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</si>
  <si>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</si>
  <si>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</si>
  <si>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</si>
  <si>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</si>
  <si>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</si>
  <si>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</si>
  <si>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</si>
  <si>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</si>
  <si>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</si>
  <si>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</si>
  <si>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</si>
  <si>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</si>
  <si>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</si>
  <si>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</si>
  <si>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</si>
  <si>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</si>
  <si>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</si>
  <si>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</si>
  <si>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</si>
  <si>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</si>
  <si>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</si>
  <si>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</si>
  <si>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</si>
  <si>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</si>
  <si>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</si>
  <si>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</si>
  <si>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</si>
  <si>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</si>
  <si>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</si>
  <si>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</si>
  <si>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</si>
  <si>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</si>
  <si>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</si>
  <si>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</si>
  <si>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</si>
  <si>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</si>
  <si>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</si>
  <si>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</si>
  <si>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</si>
  <si>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</si>
  <si>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</si>
  <si>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</si>
  <si>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</si>
  <si>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</si>
  <si>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</si>
  <si>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</si>
  <si>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</si>
  <si>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</si>
  <si>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</si>
  <si>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</si>
  <si>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</si>
  <si>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</si>
  <si>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</si>
  <si>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</si>
  <si>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</si>
  <si>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</si>
  <si>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</si>
  <si>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</si>
  <si>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</si>
  <si>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</si>
  <si>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</si>
  <si>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</si>
  <si>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</si>
  <si>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</si>
  <si>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</si>
  <si>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</si>
  <si>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</si>
  <si>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</si>
  <si>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</si>
  <si>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</si>
  <si>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</si>
  <si>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</si>
  <si>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</si>
  <si>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</si>
  <si>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</si>
  <si>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</si>
  <si>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</si>
  <si>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</si>
  <si>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</si>
  <si>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</si>
  <si>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</si>
  <si>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</si>
  <si>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</si>
  <si>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</si>
  <si>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</si>
  <si>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</si>
  <si>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</si>
  <si>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</si>
  <si>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</si>
  <si>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</si>
  <si>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</si>
  <si>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</si>
  <si>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</si>
  <si>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</si>
  <si>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</si>
  <si>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</si>
  <si>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</si>
  <si>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</si>
  <si>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</si>
  <si>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</si>
  <si>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</si>
  <si>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</si>
  <si>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</si>
  <si>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</si>
  <si>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</si>
  <si>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</si>
  <si>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</si>
  <si>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</si>
  <si>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</si>
  <si>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</si>
  <si>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</si>
  <si>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</si>
  <si>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</si>
  <si>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</si>
  <si>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</si>
  <si>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</si>
  <si>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</si>
  <si>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</si>
  <si>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</si>
  <si>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</si>
  <si>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</si>
  <si>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</si>
  <si>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</si>
  <si>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</si>
  <si>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</si>
  <si>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</si>
  <si>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</si>
  <si>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</si>
  <si>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</si>
  <si>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</si>
  <si>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</si>
  <si>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</si>
  <si>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</si>
  <si>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</si>
  <si>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</si>
  <si>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</si>
  <si>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</si>
  <si>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</si>
  <si>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</si>
  <si>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</si>
  <si>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</si>
  <si>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</si>
  <si>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</si>
  <si>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</si>
  <si>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</si>
  <si>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</si>
  <si>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</si>
  <si>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</si>
  <si>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</si>
  <si>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</si>
  <si>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</si>
  <si>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</si>
  <si>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</si>
  <si>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</si>
  <si>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</si>
  <si>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</si>
  <si>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</si>
  <si>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</si>
  <si>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</si>
  <si>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</si>
  <si>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</si>
  <si>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</si>
  <si>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</si>
  <si>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</si>
  <si>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</si>
  <si>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</si>
  <si>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</si>
  <si>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</si>
  <si>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</si>
  <si>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</si>
  <si>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</si>
  <si>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</si>
  <si>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</si>
  <si>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</si>
  <si>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</si>
  <si>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</si>
  <si>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</si>
  <si>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</si>
  <si>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</si>
  <si>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</si>
  <si>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</si>
  <si>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</si>
  <si>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</si>
  <si>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</si>
  <si>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</si>
  <si>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</si>
  <si>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</si>
  <si>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</si>
  <si>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</si>
  <si>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</si>
  <si>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</si>
  <si>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</si>
  <si>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</si>
  <si>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</si>
  <si>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</si>
  <si>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</si>
  <si>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</si>
  <si>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</si>
  <si>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</si>
  <si>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</si>
  <si>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</si>
  <si>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</si>
  <si>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</si>
  <si>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</si>
  <si>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</si>
  <si>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</si>
  <si>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</si>
  <si>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</si>
  <si>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</si>
  <si>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</si>
  <si>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</si>
  <si>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</si>
  <si>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</si>
  <si>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</si>
  <si>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</si>
  <si>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</si>
  <si>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</si>
  <si>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</si>
  <si>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</si>
  <si>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</si>
  <si>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</si>
  <si>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</si>
  <si>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</si>
  <si>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</si>
  <si>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</si>
  <si>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</si>
  <si>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</si>
  <si>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</si>
  <si>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</si>
  <si>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</si>
  <si>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</si>
  <si>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</si>
  <si>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</si>
  <si>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</si>
  <si>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</si>
  <si>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</si>
  <si>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</si>
  <si>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</si>
  <si>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</si>
  <si>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</si>
  <si>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</si>
  <si>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</si>
  <si>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</si>
  <si>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</si>
  <si>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</si>
  <si>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</si>
  <si>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</si>
  <si>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</si>
  <si>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</si>
  <si>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</si>
  <si>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</si>
  <si>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</si>
  <si>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</si>
  <si>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</si>
  <si>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</si>
  <si>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</si>
  <si>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</si>
  <si>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</si>
  <si>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</si>
  <si>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</si>
  <si>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</si>
  <si>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</si>
  <si>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</si>
  <si>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</si>
  <si>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</si>
  <si>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</si>
  <si>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</si>
  <si>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</si>
  <si>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</si>
  <si>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</si>
  <si>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</si>
  <si>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</si>
  <si>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</si>
  <si>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</si>
  <si>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</si>
  <si>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</si>
  <si>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</si>
  <si>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</si>
  <si>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</si>
  <si>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</si>
  <si>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</si>
  <si>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</si>
  <si>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</si>
  <si>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</si>
  <si>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</si>
  <si>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</si>
  <si>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</si>
  <si>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</si>
  <si>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</si>
  <si>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</si>
  <si>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</si>
  <si>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</si>
  <si>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</si>
  <si>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</si>
  <si>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</si>
  <si>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</si>
  <si>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</si>
  <si>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</si>
  <si>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</si>
  <si>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</si>
  <si>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</si>
  <si>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</si>
  <si>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</si>
  <si>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</si>
  <si>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</si>
  <si>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</si>
  <si>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</si>
  <si>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</si>
  <si>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</si>
  <si>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</si>
  <si>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</si>
  <si>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</si>
  <si>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</si>
  <si>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</si>
  <si>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</si>
  <si>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</si>
  <si>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</si>
  <si>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</si>
  <si>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</si>
  <si>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</si>
  <si>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</si>
  <si>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</si>
  <si>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</si>
  <si>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</si>
  <si>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</si>
  <si>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</si>
  <si>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</si>
  <si>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</si>
  <si>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</si>
  <si>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</si>
  <si>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</si>
  <si>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</si>
  <si>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</si>
  <si>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</si>
  <si>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</si>
  <si>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</si>
  <si>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</si>
  <si>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</si>
  <si>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</si>
  <si>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</si>
  <si>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</si>
  <si>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</si>
  <si>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</si>
  <si>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</si>
  <si>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</si>
  <si>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</si>
  <si>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</si>
  <si>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</si>
  <si>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</si>
  <si>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</si>
  <si>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</si>
  <si>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</si>
  <si>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</si>
  <si>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</si>
  <si>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</si>
  <si>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</si>
  <si>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</si>
  <si>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</si>
  <si>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</si>
  <si>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</si>
  <si>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</si>
  <si>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</si>
  <si>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</si>
  <si>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</si>
  <si>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</si>
  <si>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</si>
  <si>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</si>
  <si>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</si>
  <si>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</si>
  <si>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</si>
  <si>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</si>
  <si>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</si>
  <si>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</si>
  <si>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</si>
  <si>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</si>
  <si>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</si>
  <si>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</si>
  <si>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</si>
  <si>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</si>
  <si>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</si>
  <si>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</si>
  <si>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</si>
  <si>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</si>
  <si>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</si>
  <si>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</si>
  <si>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</si>
  <si>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</si>
  <si>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</si>
  <si>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</si>
  <si>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</si>
  <si>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</si>
  <si>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</si>
  <si>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</si>
  <si>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</si>
  <si>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</si>
  <si>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</si>
  <si>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</si>
  <si>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</si>
  <si>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</si>
  <si>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</si>
  <si>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</si>
  <si>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</si>
  <si>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</si>
  <si>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</si>
  <si>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</si>
  <si>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</si>
  <si>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</si>
  <si>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</si>
  <si>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</si>
  <si>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</si>
  <si>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</si>
  <si>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</si>
  <si>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</si>
  <si>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</si>
  <si>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</si>
  <si>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</si>
  <si>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</si>
  <si>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</si>
  <si>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</si>
  <si>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</si>
  <si>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</si>
  <si>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</si>
  <si>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</si>
  <si>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</si>
  <si>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</si>
  <si>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</si>
  <si>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</si>
  <si>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</si>
  <si>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</si>
  <si>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</si>
  <si>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</si>
  <si>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</si>
  <si>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</si>
  <si>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</si>
  <si>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</si>
  <si>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</si>
  <si>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</si>
  <si>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</si>
  <si>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</si>
  <si>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</si>
  <si>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</si>
  <si>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</si>
  <si>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</si>
  <si>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</si>
  <si>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</si>
  <si>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</si>
  <si>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</si>
  <si>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</si>
  <si>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</si>
  <si>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</si>
  <si>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</si>
  <si>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</si>
  <si>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</si>
  <si>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</si>
  <si>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</si>
  <si>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</si>
  <si>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</si>
  <si>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</si>
  <si>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</si>
  <si>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</si>
  <si>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</si>
  <si>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</si>
  <si>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</si>
  <si>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</si>
  <si>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</si>
  <si>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</si>
  <si>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</si>
  <si>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</si>
  <si>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</si>
  <si>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</si>
  <si>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</si>
  <si>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</si>
  <si>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</si>
  <si>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</si>
  <si>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</si>
  <si>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</si>
  <si>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</si>
  <si>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</si>
  <si>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</si>
  <si>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</si>
  <si>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</si>
  <si>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</si>
  <si>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</si>
  <si>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</si>
  <si>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</si>
  <si>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</si>
  <si>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</si>
  <si>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</si>
  <si>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</si>
  <si>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</si>
  <si>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</si>
  <si>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</si>
  <si>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</si>
  <si>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</si>
  <si>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</si>
  <si>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</si>
  <si>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</si>
  <si>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</si>
  <si>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</si>
  <si>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</si>
  <si>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</si>
  <si>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</si>
  <si>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</si>
  <si>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</si>
  <si>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</si>
  <si>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</si>
  <si>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</si>
  <si>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</si>
  <si>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</si>
  <si>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</si>
  <si>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</si>
  <si>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</si>
  <si>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</si>
  <si>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</si>
  <si>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</si>
  <si>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</si>
  <si>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</si>
  <si>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</si>
  <si>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</si>
  <si>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</si>
  <si>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</si>
  <si>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</si>
  <si>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</si>
  <si>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</si>
  <si>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</si>
  <si>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</si>
  <si>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</si>
  <si>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</si>
  <si>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</si>
  <si>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</si>
  <si>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</si>
  <si>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</si>
  <si>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</si>
  <si>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</si>
  <si>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</si>
  <si>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</si>
  <si>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</si>
  <si>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</si>
  <si>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</si>
  <si>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</si>
  <si>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</si>
  <si>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</si>
  <si>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</si>
  <si>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</si>
  <si>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</si>
  <si>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</si>
  <si>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</si>
  <si>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</si>
  <si>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</si>
  <si>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</si>
  <si>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</si>
  <si>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</si>
  <si>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</si>
  <si>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</si>
  <si>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</si>
  <si>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</si>
  <si>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</si>
  <si>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</si>
  <si>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</si>
  <si>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</si>
  <si>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</si>
  <si>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</si>
  <si>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</si>
  <si>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</si>
  <si>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</si>
  <si>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</si>
  <si>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</si>
  <si>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</si>
  <si>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</si>
  <si>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</si>
  <si>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</si>
  <si>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</si>
  <si>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</si>
  <si>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</si>
  <si>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</si>
  <si>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</si>
  <si>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</si>
  <si>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</si>
  <si>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</si>
  <si>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</si>
  <si>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</si>
  <si>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</si>
  <si>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</si>
  <si>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</si>
  <si>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</si>
  <si>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</si>
  <si>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</si>
  <si>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</si>
  <si>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</si>
  <si>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</si>
  <si>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</si>
  <si>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</si>
  <si>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</si>
  <si>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</si>
  <si>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</si>
  <si>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</si>
  <si>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</si>
  <si>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</si>
  <si>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</si>
  <si>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</si>
  <si>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</si>
  <si>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</si>
  <si>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</si>
  <si>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</si>
  <si>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</si>
  <si>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</si>
  <si>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</si>
  <si>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</si>
  <si>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</si>
  <si>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</si>
  <si>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</si>
  <si>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</si>
  <si>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</si>
  <si>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</si>
  <si>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</si>
  <si>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</si>
  <si>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</si>
  <si>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</si>
  <si>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</si>
  <si>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</si>
  <si>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</si>
  <si>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</si>
  <si>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</si>
  <si>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</si>
  <si>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</si>
  <si>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</si>
  <si>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</si>
  <si>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</si>
  <si>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</si>
  <si>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</si>
  <si>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</si>
  <si>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</si>
  <si>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</si>
  <si>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</si>
  <si>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</si>
  <si>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</si>
  <si>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</si>
  <si>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</si>
  <si>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</si>
  <si>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</si>
  <si>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</si>
  <si>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</si>
  <si>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</si>
  <si>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</si>
  <si>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</si>
  <si>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</si>
  <si>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</si>
  <si>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</si>
  <si>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</si>
  <si>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</si>
  <si>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</si>
  <si>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</si>
  <si>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</si>
  <si>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</si>
  <si>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</si>
  <si>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</si>
  <si>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</si>
  <si>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</si>
  <si>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</si>
  <si>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</si>
  <si>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</si>
  <si>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</si>
  <si>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</si>
  <si>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</si>
  <si>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</si>
  <si>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</si>
  <si>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</si>
  <si>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</si>
  <si>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</si>
  <si>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</si>
  <si>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</si>
  <si>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</si>
  <si>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</si>
  <si>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</si>
  <si>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</si>
  <si>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</si>
  <si>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</si>
  <si>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</si>
  <si>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</si>
  <si>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</si>
  <si>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</si>
  <si>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</si>
  <si>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</si>
  <si>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</si>
  <si>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</si>
  <si>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</si>
  <si>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</si>
  <si>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</si>
  <si>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</si>
  <si>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</si>
  <si>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</si>
  <si>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</si>
  <si>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</si>
  <si>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</si>
  <si>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</si>
  <si>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</si>
  <si>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</si>
  <si>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</si>
  <si>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</si>
  <si>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</si>
  <si>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</si>
  <si>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</si>
  <si>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</si>
  <si>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</si>
  <si>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</si>
  <si>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</si>
  <si>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</si>
  <si>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</si>
  <si>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</si>
  <si>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</si>
  <si>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</si>
  <si>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</si>
  <si>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</si>
  <si>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</si>
  <si>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</si>
  <si>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</si>
  <si>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</si>
  <si>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</si>
  <si>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</si>
  <si>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</si>
  <si>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</si>
  <si>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</si>
  <si>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</si>
  <si>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</si>
  <si>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</si>
  <si>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</si>
  <si>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</si>
  <si>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</si>
  <si>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</si>
  <si>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</si>
  <si>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</si>
  <si>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</si>
  <si>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</si>
  <si>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</si>
  <si>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</si>
  <si>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</si>
  <si>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</si>
  <si>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</si>
  <si>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</si>
  <si>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</si>
  <si>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</si>
  <si>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</si>
  <si>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</si>
  <si>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</si>
  <si>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</si>
  <si>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</si>
  <si>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</si>
  <si>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</si>
  <si>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</si>
  <si>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</si>
  <si>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</si>
  <si>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</si>
  <si>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</si>
  <si>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</si>
  <si>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</si>
  <si>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</si>
  <si>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</si>
  <si>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</si>
  <si>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</si>
  <si>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</si>
  <si>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</si>
  <si>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</si>
  <si>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</si>
  <si>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</si>
  <si>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</si>
  <si>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</si>
  <si>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</si>
  <si>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</si>
  <si>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</si>
  <si>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</si>
  <si>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</si>
  <si>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</si>
  <si>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</si>
  <si>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</si>
  <si>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</si>
  <si>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</si>
  <si>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</si>
  <si>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</si>
  <si>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</si>
  <si>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</si>
  <si>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</si>
  <si>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</si>
  <si>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</si>
  <si>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</si>
  <si>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</si>
  <si>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</si>
  <si>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</si>
  <si>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</si>
  <si>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</si>
  <si>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</si>
  <si>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</si>
  <si>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</si>
  <si>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</si>
  <si>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</si>
  <si>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</si>
  <si>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</si>
  <si>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</si>
  <si>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</si>
  <si>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</si>
  <si>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</si>
  <si>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</si>
  <si>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</si>
  <si>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</si>
  <si>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</si>
  <si>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</si>
  <si>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</si>
  <si>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</si>
  <si>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</si>
  <si>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</si>
  <si>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</si>
  <si>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</si>
  <si>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</si>
  <si>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</si>
  <si>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</si>
  <si>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</si>
  <si>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</si>
  <si>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</si>
  <si>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</si>
  <si>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</si>
  <si>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</si>
  <si>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</si>
  <si>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</si>
  <si>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</si>
  <si>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</si>
  <si>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</si>
  <si>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</si>
  <si>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</si>
  <si>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</si>
  <si>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</si>
  <si>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</si>
  <si>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</si>
  <si>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</si>
  <si>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</si>
  <si>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</si>
  <si>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</si>
  <si>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</si>
  <si>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</si>
  <si>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</si>
  <si>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</si>
  <si>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</si>
  <si>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</si>
  <si>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</si>
  <si>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</si>
  <si>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</si>
  <si>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</si>
  <si>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</si>
  <si>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</si>
  <si>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</si>
  <si>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</si>
  <si>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</si>
  <si>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</si>
  <si>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</si>
  <si>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</si>
  <si>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</si>
  <si>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</si>
  <si>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</si>
  <si>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</si>
  <si>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</si>
  <si>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</si>
  <si>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</si>
  <si>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</si>
  <si>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</si>
  <si>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</si>
  <si>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</si>
  <si>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</si>
  <si>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</si>
  <si>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</si>
  <si>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</si>
  <si>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</si>
  <si>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</si>
  <si>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</si>
  <si>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</si>
  <si>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</si>
  <si>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</si>
  <si>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</si>
  <si>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</si>
  <si>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</si>
  <si>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</si>
  <si>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</si>
  <si>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</si>
  <si>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</si>
  <si>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</si>
  <si>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</si>
  <si>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</si>
  <si>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</si>
  <si>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</si>
  <si>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</si>
  <si>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</si>
  <si>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</si>
  <si>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</si>
  <si>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</si>
  <si>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</si>
  <si>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</si>
  <si>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</si>
  <si>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</si>
  <si>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</si>
  <si>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</si>
  <si>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</si>
  <si>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</si>
  <si>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</si>
  <si>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</si>
  <si>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</si>
  <si>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</si>
  <si>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</si>
  <si>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</si>
  <si>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</si>
  <si>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</si>
  <si>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</si>
  <si>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</si>
  <si>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</si>
  <si>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</si>
  <si>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</si>
  <si>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</si>
  <si>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</si>
  <si>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</si>
  <si>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</si>
  <si>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</si>
  <si>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</si>
  <si>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</si>
  <si>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</si>
  <si>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</si>
  <si>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</si>
  <si>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</si>
  <si>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</si>
  <si>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</si>
  <si>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</si>
  <si>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</si>
  <si>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</si>
  <si>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</si>
  <si>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</si>
  <si>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</si>
  <si>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</si>
  <si>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</si>
  <si>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</si>
  <si>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</si>
  <si>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</si>
  <si>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</si>
  <si>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</si>
  <si>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</si>
  <si>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</si>
  <si>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</si>
  <si>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</si>
  <si>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</si>
  <si>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</si>
  <si>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</si>
  <si>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</si>
  <si>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</si>
  <si>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</si>
  <si>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</si>
  <si>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</si>
  <si>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</si>
  <si>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</si>
  <si>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</si>
  <si>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</si>
  <si>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</si>
  <si>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</si>
  <si>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</si>
  <si>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</si>
  <si>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</si>
  <si>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</si>
  <si>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</si>
  <si>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</si>
  <si>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</si>
  <si>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</si>
  <si>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</si>
  <si>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</si>
  <si>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</si>
  <si>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</si>
  <si>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</si>
  <si>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</si>
  <si>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</si>
  <si>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</si>
  <si>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</si>
  <si>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</si>
  <si>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</si>
  <si>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</si>
  <si>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</si>
  <si>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</si>
  <si>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</si>
  <si>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</si>
  <si>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</si>
  <si>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</si>
  <si>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</si>
  <si>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</si>
  <si>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</si>
  <si>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</si>
  <si>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</si>
  <si>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</si>
  <si>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</si>
  <si>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</si>
  <si>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</si>
  <si>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</si>
  <si>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</si>
  <si>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</si>
  <si>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</si>
  <si>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</si>
  <si>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</si>
  <si>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</si>
  <si>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</si>
  <si>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</si>
  <si>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</si>
  <si>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</si>
  <si>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</si>
  <si>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</si>
  <si>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</si>
  <si>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</si>
  <si>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</si>
  <si>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</si>
  <si>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</si>
  <si>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</si>
  <si>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</si>
  <si>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</si>
  <si>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</si>
  <si>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</si>
  <si>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</si>
  <si>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</si>
  <si>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</si>
  <si>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</si>
  <si>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</si>
  <si>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</si>
  <si>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</si>
  <si>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</si>
  <si>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</si>
  <si>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</si>
  <si>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</si>
  <si>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</si>
  <si>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</si>
  <si>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</si>
  <si>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</si>
  <si>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</si>
  <si>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</si>
  <si>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</si>
  <si>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</si>
  <si>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</si>
  <si>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</si>
  <si>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</si>
  <si>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</si>
  <si>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</si>
  <si>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</si>
  <si>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</si>
  <si>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</si>
  <si>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</si>
  <si>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</si>
  <si>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</si>
  <si>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</si>
  <si>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</si>
  <si>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</si>
  <si>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</si>
  <si>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</si>
  <si>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</si>
  <si>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</si>
  <si>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</si>
  <si>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</si>
  <si>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</si>
  <si>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</si>
  <si>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</si>
  <si>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</si>
  <si>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</si>
  <si>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</si>
  <si>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</si>
  <si>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</si>
  <si>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</si>
  <si>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</si>
  <si>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</si>
  <si>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</si>
  <si>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</si>
  <si>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</si>
  <si>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</si>
  <si>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</si>
  <si>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</si>
  <si>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</si>
  <si>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</si>
  <si>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</si>
  <si>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</si>
  <si>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</si>
  <si>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</si>
  <si>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</si>
  <si>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</si>
  <si>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</si>
  <si>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</si>
  <si>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</si>
  <si>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</si>
  <si>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</si>
  <si>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</si>
  <si>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</si>
  <si>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</si>
  <si>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</si>
  <si>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</si>
  <si>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</si>
  <si>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</si>
  <si>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</si>
  <si>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</si>
  <si>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</si>
  <si>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</si>
  <si>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</si>
  <si>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</si>
  <si>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</si>
  <si>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</si>
  <si>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</si>
  <si>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</si>
  <si>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</si>
  <si>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</si>
  <si>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</si>
  <si>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</si>
  <si>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</si>
  <si>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</si>
  <si>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</si>
  <si>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</si>
  <si>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</si>
  <si>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</si>
  <si>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</si>
  <si>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</si>
  <si>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</si>
  <si>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</si>
  <si>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</si>
  <si>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</si>
  <si>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</si>
  <si>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</si>
  <si>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</si>
  <si>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</si>
  <si>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</si>
  <si>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</si>
  <si>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</si>
  <si>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</si>
  <si>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</si>
  <si>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</si>
  <si>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</si>
  <si>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</si>
  <si>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</si>
  <si>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</si>
  <si>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</si>
  <si>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</si>
  <si>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</si>
  <si>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</si>
  <si>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</si>
  <si>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</si>
  <si>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</si>
  <si>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</si>
  <si>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</si>
  <si>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</si>
  <si>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</si>
  <si>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</si>
  <si>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</si>
  <si>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</si>
  <si>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</si>
  <si>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</si>
  <si>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</si>
  <si>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</si>
  <si>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</si>
  <si>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</si>
  <si>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</si>
  <si>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</si>
  <si>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</si>
  <si>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</si>
  <si>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</si>
  <si>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</si>
  <si>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</si>
  <si>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</si>
  <si>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</si>
  <si>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</si>
  <si>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</si>
  <si>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</si>
  <si>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</si>
  <si>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</si>
  <si>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</si>
  <si>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</si>
  <si>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</si>
  <si>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</si>
  <si>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</si>
  <si>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</si>
  <si>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</si>
  <si>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</si>
  <si>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</si>
  <si>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</si>
  <si>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</si>
  <si>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</si>
  <si>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</si>
  <si>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</si>
  <si>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</si>
  <si>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</si>
  <si>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</si>
  <si>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</si>
  <si>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</si>
  <si>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</si>
  <si>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</si>
  <si>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</si>
  <si>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</si>
  <si>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</si>
  <si>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</si>
  <si>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</si>
  <si>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</si>
  <si>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</si>
  <si>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</si>
  <si>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</si>
  <si>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</si>
  <si>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</si>
  <si>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</si>
  <si>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</si>
  <si>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</si>
  <si>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</si>
  <si>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</si>
  <si>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</si>
  <si>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</si>
  <si>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</si>
  <si>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</si>
  <si>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</si>
  <si>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</si>
  <si>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</si>
  <si>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</si>
  <si>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</si>
  <si>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</si>
  <si>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</si>
  <si>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</si>
  <si>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</si>
  <si>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</si>
  <si>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</si>
  <si>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</si>
  <si>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</si>
  <si>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</si>
  <si>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</si>
  <si>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</si>
  <si>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</si>
  <si>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</si>
  <si>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</si>
  <si>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</si>
  <si>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</si>
  <si>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</si>
  <si>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</si>
  <si>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</si>
  <si>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</si>
  <si>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</si>
  <si>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</si>
  <si>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</si>
  <si>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</si>
  <si>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</si>
  <si>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</si>
  <si>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</si>
  <si>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</si>
  <si>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</si>
  <si>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</si>
  <si>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</si>
  <si>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</si>
  <si>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</si>
  <si>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</si>
  <si>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</si>
  <si>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</si>
  <si>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</si>
  <si>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</si>
  <si>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</si>
  <si>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</si>
  <si>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</si>
  <si>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</si>
  <si>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</si>
  <si>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</si>
  <si>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</si>
  <si>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</si>
  <si>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</si>
  <si>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</si>
  <si>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</si>
  <si>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</si>
  <si>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</si>
  <si>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</si>
  <si>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</si>
  <si>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</si>
  <si>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</si>
  <si>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</si>
  <si>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</si>
  <si>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</si>
  <si>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</si>
  <si>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</si>
  <si>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</si>
  <si>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</si>
  <si>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</si>
  <si>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</si>
  <si>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</si>
  <si>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</si>
  <si>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</si>
  <si>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</si>
  <si>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</si>
  <si>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</si>
  <si>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</si>
  <si>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</si>
  <si>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</si>
  <si>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</si>
  <si>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</si>
  <si>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</si>
  <si>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</si>
  <si>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</si>
  <si>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</si>
  <si>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</si>
  <si>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</si>
  <si>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</si>
  <si>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</si>
  <si>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</si>
  <si>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</si>
  <si>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</si>
  <si>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</si>
  <si>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</si>
  <si>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</si>
  <si>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</si>
  <si>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</si>
  <si>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</si>
  <si>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</si>
  <si>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</si>
  <si>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</si>
  <si>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</si>
  <si>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</si>
  <si>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</si>
  <si>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</si>
  <si>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</si>
  <si>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</si>
  <si>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</si>
  <si>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</si>
  <si>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</si>
  <si>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</si>
  <si>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</si>
  <si>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</si>
  <si>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</si>
  <si>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</si>
  <si>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</si>
  <si>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</si>
  <si>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</si>
  <si>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</si>
  <si>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</si>
  <si>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</si>
  <si>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</si>
  <si>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</si>
  <si>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</si>
  <si>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</si>
  <si>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</si>
  <si>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</si>
  <si>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</si>
  <si>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</si>
  <si>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</si>
  <si>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</si>
  <si>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</si>
  <si>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</si>
  <si>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</si>
  <si>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</si>
  <si>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</si>
  <si>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</si>
  <si>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</si>
  <si>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</si>
  <si>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</si>
  <si>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</si>
  <si>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</si>
  <si>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</si>
  <si>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</si>
  <si>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</si>
  <si>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</si>
  <si>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</si>
  <si>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</si>
  <si>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</si>
  <si>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</si>
  <si>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</si>
  <si>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</si>
  <si>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</si>
  <si>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</si>
  <si>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</si>
  <si>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</si>
  <si>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</si>
  <si>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</si>
  <si>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</si>
  <si>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</si>
  <si>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</si>
  <si>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</si>
  <si>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</si>
  <si>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</si>
  <si>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</si>
  <si>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</si>
  <si>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</si>
  <si>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</si>
  <si>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</si>
  <si>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</si>
  <si>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</si>
  <si>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</si>
  <si>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</si>
  <si>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</si>
  <si>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</si>
  <si>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</si>
  <si>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</si>
  <si>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</si>
  <si>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</si>
  <si>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</si>
  <si>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</si>
  <si>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</si>
  <si>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</si>
  <si>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</si>
  <si>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</si>
  <si>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</si>
  <si>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</si>
  <si>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</si>
  <si>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</si>
  <si>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</si>
  <si>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</si>
  <si>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</si>
  <si>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</si>
  <si>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</si>
  <si>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</si>
  <si>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</si>
  <si>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</si>
  <si>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</si>
  <si>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</si>
  <si>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</si>
  <si>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</si>
  <si>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</si>
  <si>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</si>
  <si>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</si>
  <si>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</si>
  <si>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</si>
  <si>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</si>
  <si>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</si>
  <si>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</si>
  <si>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</si>
  <si>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</si>
  <si>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</si>
  <si>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</si>
  <si>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</si>
  <si>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</si>
  <si>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</si>
  <si>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</si>
  <si>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</si>
  <si>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</si>
  <si>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</si>
  <si>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</si>
  <si>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</si>
  <si>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</si>
  <si>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</si>
  <si>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</si>
  <si>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</si>
  <si>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</si>
  <si>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</si>
  <si>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</si>
  <si>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</si>
  <si>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</si>
  <si>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</si>
  <si>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</si>
  <si>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</si>
  <si>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</si>
  <si>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</si>
  <si>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</si>
  <si>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</si>
  <si>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</si>
  <si>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</si>
  <si>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</si>
  <si>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</si>
  <si>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</si>
  <si>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</si>
  <si>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</si>
  <si>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</si>
  <si>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</si>
  <si>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</si>
  <si>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</si>
  <si>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</si>
  <si>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</si>
  <si>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</si>
  <si>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</si>
  <si>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</si>
  <si>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</si>
  <si>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</si>
  <si>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</si>
  <si>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</si>
  <si>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</si>
  <si>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</si>
  <si>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</si>
  <si>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</si>
  <si>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</si>
  <si>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</si>
  <si>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</si>
  <si>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</si>
  <si>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</si>
  <si>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</si>
  <si>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</si>
  <si>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</si>
  <si>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</si>
  <si>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</si>
  <si>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</si>
  <si>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</si>
  <si>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</si>
  <si>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</si>
  <si>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</si>
  <si>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</si>
  <si>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</si>
  <si>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</si>
  <si>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</si>
  <si>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</si>
  <si>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</si>
  <si>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</si>
  <si>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</si>
  <si>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</si>
  <si>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</si>
  <si>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</si>
  <si>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</si>
  <si>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</si>
  <si>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</si>
  <si>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</si>
  <si>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</si>
  <si>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</si>
  <si>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</si>
  <si>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</si>
  <si>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</si>
  <si>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</si>
  <si>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</si>
  <si>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</si>
  <si>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</si>
  <si>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</si>
  <si>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</si>
  <si>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</si>
  <si>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</si>
  <si>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</si>
  <si>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</si>
  <si>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</si>
  <si>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</si>
  <si>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</si>
  <si>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</si>
  <si>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</si>
  <si>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</si>
  <si>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</si>
  <si>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</si>
  <si>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</si>
  <si>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</si>
  <si>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</si>
  <si>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</si>
  <si>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</si>
  <si>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</si>
  <si>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</si>
  <si>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</si>
  <si>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</si>
  <si>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</si>
  <si>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</si>
  <si>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</si>
  <si>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</si>
  <si>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</si>
  <si>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</si>
  <si>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</si>
  <si>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</si>
  <si>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</si>
  <si>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</si>
  <si>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</si>
  <si>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</si>
  <si>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</si>
  <si>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</si>
  <si>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</si>
  <si>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</si>
  <si>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</si>
  <si>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</si>
  <si>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</si>
  <si>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</si>
  <si>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</si>
  <si>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</si>
  <si>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</si>
  <si>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</si>
  <si>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</si>
  <si>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</si>
  <si>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</si>
  <si>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</si>
  <si>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</si>
  <si>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</si>
  <si>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</si>
  <si>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</si>
  <si>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</si>
  <si>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</si>
  <si>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</si>
  <si>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</si>
  <si>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</si>
  <si>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</si>
  <si>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</si>
  <si>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</si>
  <si>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</si>
  <si>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</si>
  <si>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</si>
  <si>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</si>
  <si>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</si>
  <si>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</si>
  <si>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</si>
  <si>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</si>
  <si>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</si>
  <si>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</si>
  <si>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</si>
  <si>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</si>
  <si>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</si>
  <si>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</si>
  <si>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</si>
  <si>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</si>
  <si>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</si>
  <si>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</si>
  <si>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</si>
  <si>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</si>
  <si>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</si>
  <si>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</si>
  <si>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</si>
  <si>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</si>
  <si>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</si>
  <si>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</si>
  <si>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</si>
  <si>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</si>
  <si>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</si>
  <si>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</si>
  <si>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</si>
  <si>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</si>
  <si>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</si>
  <si>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</si>
  <si>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</si>
  <si>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</si>
  <si>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</si>
  <si>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</si>
  <si>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</si>
  <si>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</si>
  <si>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</si>
  <si>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</si>
  <si>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</si>
  <si>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</si>
  <si>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</si>
  <si>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</si>
  <si>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</si>
  <si>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</si>
  <si>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</si>
  <si>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</si>
  <si>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</si>
  <si>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</si>
  <si>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</si>
  <si>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</si>
  <si>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</si>
  <si>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</si>
  <si>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</si>
  <si>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</si>
  <si>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</si>
  <si>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</si>
  <si>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</si>
  <si>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</si>
  <si>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</si>
  <si>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</si>
  <si>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</si>
  <si>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</si>
  <si>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</si>
  <si>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</si>
  <si>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</si>
  <si>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</si>
  <si>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</si>
  <si>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</si>
  <si>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</si>
  <si>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</si>
  <si>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</si>
  <si>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</si>
  <si>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</si>
  <si>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</si>
  <si>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</si>
  <si>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</si>
  <si>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</si>
  <si>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</si>
  <si>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</si>
  <si>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</si>
  <si>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</si>
  <si>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</si>
  <si>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</si>
  <si>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</si>
  <si>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</si>
  <si>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</si>
  <si>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</si>
  <si>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</si>
  <si>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</si>
  <si>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</si>
  <si>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</si>
  <si>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</si>
  <si>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</si>
  <si>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</si>
  <si>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</si>
  <si>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</si>
  <si>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</si>
  <si>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</si>
  <si>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</si>
  <si>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</si>
  <si>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</si>
  <si>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</si>
  <si>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</si>
  <si>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</si>
  <si>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</si>
  <si>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</si>
  <si>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</si>
  <si>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</si>
  <si>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</si>
  <si>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</si>
  <si>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</si>
  <si>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</si>
  <si>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</si>
  <si>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</si>
  <si>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</si>
  <si>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</si>
  <si>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</si>
  <si>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</si>
  <si>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</si>
  <si>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</si>
  <si>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</si>
  <si>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</si>
  <si>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</si>
  <si>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</si>
  <si>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</si>
  <si>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</si>
  <si>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</si>
  <si>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</si>
  <si>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</si>
  <si>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</si>
  <si>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</si>
  <si>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</si>
  <si>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</si>
  <si>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</si>
  <si>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</si>
  <si>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</si>
  <si>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</si>
  <si>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</si>
  <si>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</si>
  <si>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</si>
  <si>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</si>
  <si>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</si>
  <si>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</si>
  <si>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</si>
  <si>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</si>
  <si>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</si>
  <si>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</si>
  <si>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</si>
  <si>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</si>
  <si>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</si>
  <si>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</si>
  <si>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</si>
  <si>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</si>
  <si>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</si>
  <si>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</si>
  <si>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</si>
  <si>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</si>
  <si>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</si>
  <si>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</si>
  <si>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</si>
  <si>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</si>
  <si>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</si>
  <si>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</si>
  <si>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</si>
  <si>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</si>
  <si>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</si>
  <si>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</si>
  <si>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</si>
  <si>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</si>
  <si>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</si>
  <si>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</si>
  <si>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</si>
  <si>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</si>
  <si>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</si>
  <si>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</si>
  <si>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</si>
  <si>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</si>
  <si>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</si>
  <si>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</si>
  <si>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</si>
  <si>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</si>
  <si>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</si>
  <si>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</si>
  <si>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</si>
  <si>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</si>
  <si>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</si>
  <si>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</si>
  <si>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</si>
  <si>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</si>
  <si>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</si>
  <si>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</si>
  <si>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</si>
  <si>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</si>
  <si>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</si>
  <si>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</si>
  <si>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</si>
  <si>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</si>
  <si>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</si>
  <si>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</si>
  <si>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</si>
  <si>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</si>
  <si>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</si>
  <si>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</si>
  <si>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</si>
  <si>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</si>
  <si>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</si>
  <si>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</si>
  <si>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</si>
  <si>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</si>
  <si>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</si>
  <si>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</si>
  <si>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</si>
  <si>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</si>
  <si>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</si>
  <si>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</si>
  <si>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</si>
  <si>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</si>
  <si>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</si>
  <si>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</si>
  <si>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</si>
  <si>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</si>
  <si>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</si>
  <si>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</si>
  <si>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</si>
  <si>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</si>
  <si>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</si>
  <si>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</si>
  <si>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</si>
  <si>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</si>
  <si>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</si>
  <si>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</si>
  <si>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</si>
  <si>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</si>
  <si>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</si>
  <si>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</si>
  <si>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</si>
  <si>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</si>
  <si>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</si>
  <si>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</si>
  <si>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</si>
  <si>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</si>
  <si>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</si>
  <si>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</si>
  <si>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</si>
  <si>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</si>
  <si>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</si>
  <si>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</si>
  <si>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</si>
  <si>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</si>
  <si>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</si>
  <si>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</si>
  <si>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</si>
  <si>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</si>
  <si>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</si>
  <si>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</si>
  <si>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</si>
  <si>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</si>
  <si>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</si>
  <si>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</si>
  <si>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</si>
  <si>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</si>
  <si>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</si>
  <si>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</si>
  <si>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</si>
  <si>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</si>
  <si>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</si>
  <si>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</si>
  <si>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</si>
  <si>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</si>
  <si>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</si>
  <si>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</si>
  <si>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</si>
  <si>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</si>
  <si>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</si>
  <si>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</si>
  <si>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</si>
  <si>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</si>
  <si>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</si>
  <si>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</si>
  <si>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</si>
  <si>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</si>
  <si>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</si>
  <si>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</si>
  <si>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</si>
  <si>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</si>
  <si>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</si>
  <si>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</si>
  <si>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</si>
  <si>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</si>
  <si>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</si>
  <si>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</si>
  <si>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</si>
  <si>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</si>
  <si>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</si>
  <si>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</si>
  <si>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</si>
  <si>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</si>
  <si>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</si>
  <si>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</si>
  <si>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</si>
  <si>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</si>
  <si>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</si>
  <si>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</si>
  <si>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</si>
  <si>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</si>
  <si>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</si>
  <si>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</si>
  <si>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</si>
  <si>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</si>
  <si>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</si>
  <si>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</si>
  <si>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</si>
  <si>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</si>
  <si>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</si>
  <si>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</si>
  <si>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</si>
  <si>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</si>
  <si>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</si>
  <si>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</si>
  <si>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</si>
  <si>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</si>
  <si>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</si>
  <si>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</si>
  <si>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</si>
  <si>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</si>
  <si>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</si>
  <si>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</si>
  <si>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</si>
  <si>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</si>
  <si>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</si>
  <si>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</si>
  <si>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</si>
  <si>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</si>
  <si>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</si>
  <si>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</si>
  <si>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</si>
  <si>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</si>
  <si>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</si>
  <si>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</si>
  <si>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</si>
  <si>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</si>
  <si>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</si>
  <si>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</si>
  <si>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</si>
  <si>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</si>
  <si>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</si>
  <si>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</si>
  <si>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</si>
  <si>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</si>
  <si>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</si>
  <si>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</si>
  <si>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</si>
  <si>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</si>
  <si>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</si>
  <si>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</si>
  <si>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</si>
  <si>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</si>
  <si>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</si>
  <si>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</si>
  <si>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</si>
  <si>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</si>
  <si>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</si>
  <si>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</si>
  <si>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</si>
  <si>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</si>
  <si>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</si>
  <si>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</si>
  <si>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</si>
  <si>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</si>
  <si>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</si>
  <si>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</si>
  <si>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</si>
  <si>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</si>
  <si>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</si>
  <si>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</si>
  <si>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</si>
  <si>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</si>
  <si>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</si>
  <si>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</si>
  <si>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</si>
  <si>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</si>
  <si>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</si>
  <si>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</si>
  <si>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</si>
  <si>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</si>
  <si>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</si>
  <si>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</si>
  <si>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</si>
  <si>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</si>
  <si>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</si>
  <si>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</si>
  <si>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</si>
  <si>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</si>
  <si>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</si>
  <si>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</si>
  <si>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</si>
  <si>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</si>
  <si>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</si>
  <si>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</si>
  <si>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</si>
  <si>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</si>
  <si>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</si>
  <si>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</si>
  <si>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</si>
  <si>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</si>
  <si>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</si>
  <si>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</si>
  <si>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</si>
  <si>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</si>
  <si>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</si>
  <si>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</si>
  <si>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</si>
  <si>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</si>
  <si>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</si>
  <si>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</si>
  <si>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</si>
  <si>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</si>
  <si>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</si>
  <si>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</si>
  <si>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</si>
  <si>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</si>
  <si>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</si>
  <si>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</si>
  <si>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</si>
  <si>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</si>
  <si>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</si>
  <si>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</si>
  <si>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</si>
  <si>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</si>
  <si>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</si>
  <si>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</si>
  <si>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</si>
  <si>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</si>
  <si>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</si>
  <si>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</si>
  <si>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</si>
  <si>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</si>
  <si>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</si>
  <si>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</si>
  <si>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</si>
  <si>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</si>
  <si>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</si>
  <si>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</si>
  <si>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</si>
  <si>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</si>
  <si>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</si>
  <si>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</si>
  <si>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</si>
  <si>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</si>
  <si>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</si>
  <si>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</si>
  <si>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</si>
  <si>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</si>
  <si>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</si>
  <si>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</si>
  <si>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</si>
  <si>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</si>
  <si>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</si>
  <si>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</si>
  <si>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</si>
  <si>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</si>
  <si>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</si>
  <si>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</si>
  <si>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</si>
  <si>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</si>
  <si>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</si>
  <si>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</si>
  <si>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</si>
  <si>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</si>
  <si>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</si>
  <si>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</si>
  <si>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</si>
  <si>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</si>
  <si>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</si>
  <si>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</si>
  <si>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</si>
  <si>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</si>
  <si>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</si>
  <si>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</si>
  <si>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</si>
  <si>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</si>
  <si>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</si>
  <si>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</si>
  <si>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</si>
  <si>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</si>
  <si>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</si>
  <si>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</si>
  <si>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</si>
  <si>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</si>
  <si>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</si>
  <si>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</si>
  <si>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</si>
  <si>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</si>
  <si>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</si>
  <si>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</si>
  <si>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</si>
  <si>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</si>
  <si>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</si>
  <si>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</si>
  <si>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</si>
  <si>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</si>
  <si>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</si>
  <si>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</si>
  <si>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</si>
  <si>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</si>
  <si>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</si>
  <si>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</si>
  <si>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</si>
  <si>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</si>
  <si>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</si>
  <si>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</si>
  <si>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</si>
  <si>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</si>
  <si>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</si>
  <si>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</si>
  <si>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</si>
  <si>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</si>
  <si>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</si>
  <si>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</si>
  <si>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</si>
  <si>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</si>
  <si>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</si>
  <si>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</si>
  <si>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</si>
  <si>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</si>
  <si>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</si>
  <si>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</si>
  <si>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</si>
  <si>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</si>
  <si>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</si>
  <si>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</si>
  <si>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</si>
  <si>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</si>
  <si>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</si>
  <si>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</si>
  <si>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</si>
  <si>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</si>
  <si>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</si>
  <si>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</si>
  <si>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</si>
  <si>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</si>
  <si>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</si>
  <si>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</si>
  <si>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</si>
  <si>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</si>
  <si>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</si>
  <si>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</si>
  <si>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</si>
  <si>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</si>
  <si>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</si>
  <si>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</si>
  <si>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</si>
  <si>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</si>
  <si>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</si>
  <si>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</si>
  <si>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</si>
  <si>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</si>
  <si>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</si>
  <si>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</si>
  <si>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</si>
  <si>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</si>
  <si>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</si>
  <si>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</si>
  <si>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</si>
  <si>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</si>
  <si>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</si>
  <si>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</si>
  <si>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</si>
  <si>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</si>
  <si>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</si>
  <si>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</si>
  <si>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</si>
  <si>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</si>
  <si>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</si>
  <si>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</si>
  <si>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</si>
  <si>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</si>
  <si>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</si>
  <si>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</si>
  <si>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</si>
  <si>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</si>
  <si>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</si>
  <si>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</si>
  <si>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</si>
  <si>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</si>
  <si>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</si>
  <si>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</si>
  <si>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</si>
  <si>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</si>
  <si>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</si>
  <si>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</si>
  <si>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</si>
  <si>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</si>
  <si>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</si>
  <si>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</si>
  <si>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</si>
  <si>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</si>
  <si>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</si>
  <si>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</si>
  <si>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</si>
  <si>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</si>
  <si>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</si>
  <si>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</si>
  <si>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</si>
  <si>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</si>
  <si>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</si>
  <si>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</si>
  <si>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</si>
  <si>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</si>
  <si>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</si>
  <si>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</si>
  <si>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</si>
  <si>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</si>
  <si>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</si>
  <si>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</si>
  <si>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</si>
  <si>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</si>
  <si>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</si>
  <si>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</si>
  <si>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</si>
  <si>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</si>
  <si>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</si>
  <si>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</si>
  <si>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</si>
  <si>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</si>
  <si>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</si>
  <si>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</si>
  <si>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</si>
  <si>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</si>
  <si>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</si>
  <si>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</si>
  <si>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</si>
  <si>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</si>
  <si>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</si>
  <si>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</si>
  <si>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</si>
  <si>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</si>
  <si>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</si>
  <si>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</si>
  <si>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</si>
  <si>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</si>
  <si>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</si>
  <si>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</si>
  <si>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</si>
  <si>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</si>
  <si>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</si>
  <si>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</si>
  <si>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</si>
  <si>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</si>
  <si>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</si>
  <si>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</si>
  <si>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</si>
  <si>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</si>
  <si>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</si>
  <si>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</si>
  <si>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</si>
  <si>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</si>
  <si>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</si>
  <si>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</si>
  <si>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</si>
  <si>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</si>
  <si>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</si>
  <si>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</si>
  <si>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</si>
  <si>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</si>
  <si>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</si>
  <si>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</si>
  <si>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</si>
  <si>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</si>
  <si>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</si>
  <si>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</si>
  <si>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</si>
  <si>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</si>
  <si>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</si>
  <si>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</si>
  <si>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</si>
  <si>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</si>
  <si>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</si>
  <si>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</si>
  <si>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</si>
  <si>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</si>
  <si>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</si>
  <si>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</si>
  <si>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</si>
  <si>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</si>
  <si>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</si>
  <si>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</si>
  <si>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</si>
  <si>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</si>
  <si>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</si>
  <si>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</si>
  <si>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</si>
  <si>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</si>
  <si>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</si>
  <si>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</si>
  <si>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</si>
  <si>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</si>
  <si>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</si>
  <si>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</si>
  <si>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</si>
  <si>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</si>
  <si>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</si>
  <si>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</si>
  <si>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</si>
  <si>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</si>
  <si>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</si>
  <si>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</si>
  <si>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</si>
  <si>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</si>
  <si>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</si>
  <si>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</si>
  <si>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</si>
  <si>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</si>
  <si>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</si>
  <si>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</si>
  <si>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</si>
  <si>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</si>
  <si>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</si>
  <si>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</si>
  <si>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</si>
  <si>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</si>
  <si>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</si>
  <si>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</si>
  <si>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</si>
  <si>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</si>
  <si>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</si>
  <si>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</si>
  <si>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</si>
  <si>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</si>
  <si>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</si>
  <si>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</si>
  <si>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</si>
  <si>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</si>
  <si>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</si>
  <si>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</si>
  <si>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</si>
  <si>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</si>
  <si>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</si>
  <si>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</si>
  <si>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</si>
  <si>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</si>
  <si>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</si>
  <si>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</si>
  <si>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</si>
  <si>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</si>
  <si>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</si>
  <si>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</si>
  <si>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</si>
  <si>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</si>
  <si>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</si>
  <si>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</si>
  <si>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</si>
  <si>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</si>
  <si>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</si>
  <si>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</si>
  <si>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</si>
  <si>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</si>
  <si>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</si>
  <si>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</si>
  <si>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</si>
  <si>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</si>
  <si>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</si>
  <si>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</si>
  <si>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</si>
  <si>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</si>
  <si>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</si>
  <si>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</si>
  <si>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</si>
  <si>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</si>
  <si>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</si>
  <si>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</si>
  <si>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</si>
  <si>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</si>
  <si>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</si>
  <si>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</si>
  <si>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</si>
  <si>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</si>
  <si>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</si>
  <si>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</si>
  <si>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</si>
  <si>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</si>
  <si>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</si>
  <si>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</si>
  <si>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</si>
  <si>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</si>
  <si>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</si>
  <si>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</si>
  <si>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</si>
  <si>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</si>
  <si>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</si>
  <si>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</si>
  <si>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</si>
  <si>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</si>
  <si>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</si>
  <si>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</si>
  <si>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</si>
  <si>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</si>
  <si>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</si>
  <si>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</si>
  <si>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</si>
  <si>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</si>
  <si>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</si>
  <si>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</si>
  <si>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</si>
  <si>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</si>
  <si>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</si>
  <si>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</si>
  <si>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</si>
  <si>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</si>
  <si>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</si>
  <si>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</si>
  <si>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</si>
  <si>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</si>
  <si>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</si>
  <si>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</si>
  <si>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</si>
  <si>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</si>
  <si>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</si>
  <si>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</si>
  <si>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</si>
  <si>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</si>
  <si>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</si>
  <si>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</si>
  <si>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</si>
  <si>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</si>
  <si>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</si>
  <si>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</si>
  <si>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</si>
  <si>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</si>
  <si>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</si>
  <si>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</si>
  <si>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</si>
  <si>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</si>
  <si>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</si>
  <si>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</si>
  <si>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</si>
  <si>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</si>
  <si>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</si>
  <si>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</si>
  <si>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</si>
  <si>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</si>
  <si>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</si>
  <si>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</si>
  <si>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</si>
  <si>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</si>
  <si>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</si>
  <si>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</si>
  <si>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</si>
  <si>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</si>
  <si>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</si>
  <si>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</si>
  <si>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</si>
  <si>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</si>
  <si>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</si>
  <si>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</si>
  <si>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</si>
  <si>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</si>
  <si>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</si>
  <si>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</si>
  <si>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</si>
  <si>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</si>
  <si>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</si>
  <si>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</si>
  <si>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</si>
  <si>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</si>
  <si>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</si>
  <si>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</si>
  <si>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</si>
  <si>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</si>
  <si>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</si>
  <si>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</si>
  <si>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</si>
  <si>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</si>
  <si>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</si>
  <si>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</si>
  <si>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</si>
  <si>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</si>
  <si>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</si>
  <si>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</si>
  <si>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</si>
  <si>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</si>
  <si>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</si>
  <si>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</si>
  <si>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</si>
  <si>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</si>
  <si>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</si>
  <si>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</si>
  <si>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</si>
  <si>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</si>
  <si>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</si>
  <si>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</si>
  <si>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</si>
  <si>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</si>
  <si>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</si>
  <si>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</si>
  <si>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</si>
  <si>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</si>
  <si>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</si>
  <si>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</si>
  <si>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</si>
  <si>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</si>
  <si>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</si>
  <si>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</si>
  <si>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</si>
  <si>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</si>
  <si>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</si>
  <si>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</si>
  <si>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</si>
  <si>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</si>
  <si>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</si>
  <si>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</si>
  <si>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</si>
  <si>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</si>
  <si>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</si>
  <si>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</si>
  <si>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</si>
  <si>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</si>
  <si>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</si>
  <si>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</si>
  <si>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</si>
  <si>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</si>
  <si>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</si>
  <si>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</si>
  <si>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</si>
  <si>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</si>
  <si>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</si>
  <si>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</si>
  <si>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</si>
  <si>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</si>
  <si>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</si>
  <si>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</si>
  <si>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</si>
  <si>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</si>
  <si>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</si>
  <si>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</si>
  <si>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</si>
  <si>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</si>
  <si>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</si>
  <si>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</si>
  <si>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</si>
  <si>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</si>
  <si>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</si>
  <si>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</si>
  <si>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</si>
  <si>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</si>
  <si>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</si>
  <si>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</si>
  <si>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</si>
  <si>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</si>
  <si>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</si>
  <si>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</si>
  <si>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</si>
  <si>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</si>
  <si>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</si>
  <si>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</si>
  <si>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</si>
  <si>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</si>
  <si>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</si>
  <si>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</si>
  <si>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</si>
  <si>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</si>
  <si>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</si>
  <si>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</si>
  <si>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</si>
  <si>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</si>
  <si>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</si>
  <si>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</si>
  <si>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</si>
  <si>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</si>
  <si>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</si>
  <si>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</si>
  <si>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</si>
  <si>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</si>
  <si>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</si>
  <si>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</si>
  <si>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</si>
  <si>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</si>
  <si>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</si>
  <si>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</si>
  <si>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</si>
  <si>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</si>
  <si>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</si>
  <si>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</si>
  <si>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</si>
  <si>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</si>
  <si>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</si>
  <si>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</si>
  <si>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</si>
  <si>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</si>
  <si>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</si>
  <si>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</si>
  <si>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</si>
  <si>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</si>
  <si>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</si>
  <si>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</si>
  <si>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</si>
  <si>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</si>
  <si>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</si>
  <si>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</si>
  <si>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</si>
  <si>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</si>
  <si>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</si>
  <si>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</si>
  <si>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</si>
  <si>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</si>
  <si>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</si>
  <si>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</si>
  <si>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</si>
  <si>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</si>
  <si>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</si>
  <si>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</si>
  <si>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</si>
  <si>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</si>
  <si>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</si>
  <si>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</si>
  <si>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</si>
  <si>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</si>
  <si>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</si>
  <si>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</si>
  <si>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</si>
  <si>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</si>
  <si>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</si>
  <si>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</si>
  <si>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</si>
  <si>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</si>
  <si>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</si>
  <si>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</si>
  <si>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</si>
  <si>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</si>
  <si>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</si>
  <si>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</si>
  <si>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</si>
  <si>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</si>
  <si>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</si>
  <si>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</si>
  <si>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</si>
  <si>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</si>
  <si>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</si>
  <si>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</si>
  <si>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</si>
  <si>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</si>
  <si>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</si>
  <si>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</si>
  <si>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</si>
  <si>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</si>
  <si>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</si>
  <si>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</si>
  <si>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</si>
  <si>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</si>
  <si>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</si>
  <si>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</si>
  <si>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</si>
  <si>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</si>
  <si>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</si>
  <si>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</si>
  <si>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</si>
  <si>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</si>
  <si>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</si>
  <si>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</si>
  <si>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</si>
  <si>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</si>
  <si>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</si>
  <si>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</si>
  <si>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</si>
  <si>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</si>
  <si>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</si>
  <si>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</si>
  <si>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</si>
  <si>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</si>
  <si>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</si>
  <si>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</si>
  <si>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</si>
  <si>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</si>
  <si>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</si>
  <si>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</si>
  <si>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</si>
  <si>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</si>
  <si>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</si>
  <si>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</si>
  <si>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</si>
  <si>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</si>
  <si>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</si>
  <si>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</si>
  <si>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</si>
  <si>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</si>
  <si>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</si>
  <si>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</si>
  <si>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</si>
  <si>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</si>
  <si>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</si>
  <si>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</si>
  <si>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</si>
  <si>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</si>
  <si>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</si>
  <si>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</si>
  <si>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</si>
  <si>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</si>
  <si>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</si>
  <si>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</si>
  <si>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</si>
  <si>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</si>
  <si>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</si>
  <si>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</si>
  <si>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</si>
  <si>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</si>
  <si>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</si>
  <si>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</si>
  <si>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</si>
  <si>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</si>
  <si>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</si>
  <si>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</si>
  <si>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</si>
  <si>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</si>
  <si>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</si>
  <si>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</si>
  <si>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</si>
  <si>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</si>
  <si>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</si>
  <si>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</si>
  <si>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</si>
  <si>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</si>
  <si>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</si>
  <si>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</si>
  <si>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</si>
  <si>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</si>
  <si>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</si>
  <si>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</si>
  <si>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</si>
  <si>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</si>
  <si>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</si>
  <si>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</si>
  <si>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</si>
  <si>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</si>
  <si>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</si>
  <si>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</si>
  <si>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</si>
  <si>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</si>
  <si>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</si>
  <si>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</si>
  <si>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</si>
  <si>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</si>
  <si>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</si>
  <si>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</si>
  <si>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</si>
  <si>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</si>
  <si>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</si>
  <si>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</si>
  <si>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</si>
  <si>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</si>
  <si>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</si>
  <si>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</si>
  <si>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</si>
  <si>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</si>
  <si>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</si>
  <si>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</si>
  <si>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</si>
  <si>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</si>
  <si>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</si>
  <si>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</si>
  <si>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</si>
  <si>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</si>
  <si>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</si>
  <si>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</si>
  <si>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</si>
  <si>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</si>
  <si>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</si>
  <si>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</si>
  <si>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</si>
  <si>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</si>
  <si>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</si>
  <si>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</si>
  <si>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</si>
  <si>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</si>
  <si>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</si>
  <si>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</si>
  <si>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</si>
  <si>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</si>
  <si>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</si>
  <si>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</si>
  <si>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</si>
  <si>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</si>
  <si>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</si>
  <si>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</si>
  <si>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</si>
  <si>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</si>
  <si>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</si>
  <si>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</si>
  <si>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</si>
  <si>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</si>
  <si>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</si>
  <si>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</si>
  <si>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</si>
  <si>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</si>
  <si>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</si>
  <si>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</si>
  <si>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</si>
  <si>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</si>
  <si>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</si>
  <si>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</si>
  <si>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</si>
  <si>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</si>
  <si>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</si>
  <si>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</si>
  <si>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</si>
  <si>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</si>
  <si>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</si>
  <si>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</si>
  <si>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</si>
  <si>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</si>
  <si>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</si>
  <si>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</si>
  <si>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</si>
  <si>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</si>
  <si>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</si>
  <si>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</si>
  <si>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</si>
  <si>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</si>
  <si>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</si>
  <si>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</si>
  <si>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</si>
  <si>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</si>
  <si>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</si>
  <si>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</si>
  <si>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</si>
  <si>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</si>
  <si>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</si>
  <si>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</si>
  <si>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</si>
  <si>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</si>
  <si>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</si>
  <si>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</si>
  <si>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</si>
  <si>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</si>
  <si>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</si>
  <si>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</si>
  <si>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</si>
  <si>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</si>
  <si>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</si>
  <si>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</si>
  <si>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</si>
  <si>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</si>
  <si>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</si>
  <si>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</si>
  <si>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</si>
  <si>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</si>
  <si>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</si>
  <si>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</si>
  <si>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</si>
  <si>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</si>
  <si>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</si>
  <si>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</si>
  <si>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</si>
  <si>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</si>
  <si>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</si>
  <si>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</si>
  <si>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</si>
  <si>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</si>
  <si>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</si>
  <si>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</si>
  <si>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</si>
  <si>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</si>
  <si>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</si>
  <si>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</si>
  <si>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</si>
  <si>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</si>
  <si>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</si>
  <si>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</si>
  <si>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</si>
  <si>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</si>
  <si>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</si>
  <si>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</si>
  <si>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</si>
  <si>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</si>
  <si>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</si>
  <si>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</si>
  <si>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</si>
  <si>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</si>
  <si>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</si>
  <si>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</si>
  <si>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</si>
  <si>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</si>
  <si>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</si>
  <si>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</si>
  <si>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</si>
  <si>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</si>
  <si>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</si>
  <si>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</si>
  <si>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</si>
  <si>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</si>
  <si>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</si>
  <si>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</si>
  <si>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</si>
  <si>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</si>
  <si>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</si>
  <si>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</si>
  <si>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</si>
  <si>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</si>
  <si>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</si>
  <si>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</si>
  <si>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</si>
  <si>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</si>
  <si>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</si>
  <si>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</si>
  <si>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</si>
  <si>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</si>
  <si>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</si>
  <si>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</si>
  <si>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</si>
  <si>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</si>
  <si>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</si>
  <si>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</si>
  <si>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</si>
  <si>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</si>
  <si>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</si>
  <si>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</si>
  <si>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</si>
  <si>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</si>
  <si>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</si>
  <si>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</si>
  <si>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</si>
  <si>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</si>
  <si>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</si>
  <si>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</si>
  <si>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</si>
  <si>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</si>
  <si>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</si>
  <si>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</si>
  <si>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</si>
  <si>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</si>
  <si>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</si>
  <si>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</si>
  <si>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</si>
  <si>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</si>
  <si>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</si>
  <si>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</si>
  <si>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</si>
  <si>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</si>
  <si>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</si>
  <si>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</si>
  <si>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</si>
  <si>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</si>
  <si>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</si>
  <si>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</si>
  <si>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</si>
  <si>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</si>
  <si>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</si>
  <si>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</si>
  <si>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</si>
  <si>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</si>
  <si>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</si>
  <si>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</si>
  <si>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</si>
  <si>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</si>
  <si>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</si>
  <si>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</si>
  <si>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</si>
  <si>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</si>
  <si>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</si>
  <si>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</si>
  <si>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</si>
  <si>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</si>
  <si>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</si>
  <si>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</si>
  <si>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</si>
  <si>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</si>
  <si>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</si>
  <si>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</si>
  <si>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</si>
  <si>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</si>
  <si>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</si>
  <si>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</si>
  <si>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</si>
  <si>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</si>
  <si>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</si>
  <si>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</si>
  <si>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</si>
  <si>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</si>
  <si>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</si>
  <si>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</si>
  <si>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</si>
  <si>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</si>
  <si>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</si>
  <si>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</si>
  <si>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</si>
  <si>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</si>
  <si>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</si>
  <si>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</si>
  <si>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</si>
  <si>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</si>
  <si>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</si>
  <si>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</si>
  <si>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</si>
  <si>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</si>
  <si>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</si>
  <si>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</si>
  <si>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</si>
  <si>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</si>
  <si>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</si>
  <si>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</si>
  <si>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</si>
  <si>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</si>
  <si>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</si>
  <si>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</si>
  <si>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</si>
  <si>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</si>
  <si>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</si>
  <si>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</si>
  <si>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</si>
  <si>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</si>
  <si>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</si>
  <si>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</si>
  <si>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</si>
  <si>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</si>
  <si>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</si>
  <si>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</si>
  <si>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</si>
  <si>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</si>
  <si>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</si>
  <si>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</si>
  <si>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</si>
  <si>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</si>
  <si>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</si>
  <si>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</si>
  <si>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</si>
  <si>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</si>
  <si>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</si>
  <si>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</si>
  <si>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</si>
  <si>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</si>
  <si>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</si>
  <si>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</si>
  <si>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</si>
  <si>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</si>
  <si>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</si>
  <si>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</si>
  <si>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</si>
  <si>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</si>
  <si>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</si>
  <si>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</si>
  <si>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</si>
  <si>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</si>
  <si>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</si>
  <si>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</si>
  <si>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</si>
  <si>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</si>
  <si>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</si>
  <si>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</si>
  <si>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</si>
  <si>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</si>
  <si>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</si>
  <si>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</si>
  <si>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</si>
  <si>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</si>
  <si>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</si>
  <si>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</si>
  <si>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</si>
  <si>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</si>
  <si>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</si>
  <si>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</si>
  <si>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</si>
  <si>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</si>
  <si>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</si>
  <si>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</si>
  <si>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</si>
  <si>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</si>
  <si>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</si>
  <si>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</si>
  <si>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</si>
  <si>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</si>
  <si>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</si>
  <si>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</si>
  <si>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</si>
  <si>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</si>
  <si>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</si>
  <si>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</si>
  <si>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</si>
  <si>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</si>
  <si>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</si>
  <si>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</si>
  <si>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</si>
  <si>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</si>
  <si>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</si>
  <si>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</si>
  <si>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</si>
  <si>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</si>
  <si>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</si>
  <si>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</si>
  <si>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</si>
  <si>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</si>
  <si>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</si>
  <si>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</si>
  <si>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</si>
  <si>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</si>
  <si>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</si>
  <si>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</si>
  <si>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</si>
  <si>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</si>
  <si>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</si>
  <si>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</si>
  <si>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</si>
  <si>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</si>
  <si>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</si>
  <si>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</si>
  <si>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</si>
  <si>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</si>
  <si>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</si>
  <si>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</si>
  <si>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</si>
  <si>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</si>
  <si>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</si>
  <si>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</si>
  <si>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</si>
  <si>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</si>
  <si>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</si>
  <si>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</si>
  <si>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</si>
  <si>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</si>
  <si>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</si>
  <si>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</si>
  <si>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</si>
  <si>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</si>
  <si>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</si>
  <si>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</si>
  <si>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</si>
  <si>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</si>
  <si>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</si>
  <si>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</si>
  <si>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</si>
  <si>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</si>
  <si>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</si>
  <si>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</si>
  <si>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</si>
  <si>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</si>
  <si>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</si>
  <si>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</si>
  <si>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</si>
  <si>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</si>
  <si>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</si>
  <si>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</si>
  <si>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</si>
  <si>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</si>
  <si>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</si>
  <si>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</si>
  <si>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</si>
  <si>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</si>
  <si>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</si>
  <si>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</si>
  <si>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</si>
  <si>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</si>
  <si>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</si>
  <si>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</si>
  <si>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</si>
  <si>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</si>
  <si>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</si>
  <si>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</si>
  <si>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</si>
  <si>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</si>
  <si>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</si>
  <si>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</si>
  <si>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</si>
  <si>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</si>
  <si>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</si>
  <si>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</si>
  <si>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</si>
  <si>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</si>
  <si>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</si>
  <si>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</si>
  <si>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</si>
  <si>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</si>
  <si>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</si>
  <si>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</si>
  <si>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</si>
  <si>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</si>
  <si>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</si>
  <si>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</si>
  <si>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</si>
  <si>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</si>
  <si>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</si>
  <si>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</si>
  <si>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</si>
  <si>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</si>
  <si>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</si>
  <si>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</si>
  <si>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</si>
  <si>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</si>
  <si>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</si>
  <si>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</si>
  <si>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</si>
  <si>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</si>
  <si>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</si>
  <si>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</si>
  <si>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</si>
  <si>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</si>
  <si>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</si>
  <si>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</si>
  <si>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</si>
  <si>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</si>
  <si>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</si>
  <si>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</si>
  <si>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</si>
  <si>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</si>
  <si>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</si>
  <si>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</si>
  <si>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</si>
  <si>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</si>
  <si>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</si>
  <si>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</si>
  <si>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</si>
  <si>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</si>
  <si>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</si>
  <si>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</si>
  <si>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</si>
  <si>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</si>
  <si>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</si>
  <si>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</si>
  <si>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</si>
  <si>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</si>
  <si>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</si>
  <si>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</si>
  <si>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</si>
  <si>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</si>
  <si>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</si>
  <si>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</si>
  <si>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</si>
  <si>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</si>
  <si>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</si>
  <si>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</si>
  <si>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</si>
  <si>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</si>
  <si>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</si>
  <si>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</si>
  <si>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</si>
  <si>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</si>
  <si>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</si>
  <si>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</si>
  <si>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</si>
  <si>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</si>
  <si>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</si>
  <si>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</si>
  <si>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</si>
  <si>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</si>
  <si>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</si>
  <si>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</si>
  <si>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</si>
  <si>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</si>
  <si>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</si>
  <si>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</si>
  <si>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</si>
  <si>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</si>
  <si>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</si>
  <si>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</si>
  <si>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</si>
  <si>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</si>
  <si>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</si>
  <si>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</si>
  <si>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</si>
  <si>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</si>
  <si>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</si>
  <si>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</si>
  <si>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</si>
  <si>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</si>
  <si>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</si>
  <si>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</si>
  <si>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</si>
  <si>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</si>
  <si>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</si>
  <si>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</si>
  <si>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</si>
  <si>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</si>
  <si>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</si>
  <si>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</si>
  <si>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</si>
  <si>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</si>
  <si>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</si>
  <si>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</si>
  <si>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</si>
  <si>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</si>
  <si>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</si>
  <si>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</si>
  <si>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</si>
  <si>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</si>
  <si>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</si>
  <si>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</si>
  <si>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</si>
  <si>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</si>
  <si>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</si>
  <si>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</si>
  <si>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</si>
  <si>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</si>
  <si>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</si>
  <si>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</si>
  <si>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</si>
  <si>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</si>
  <si>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</si>
  <si>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</si>
  <si>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</si>
  <si>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</si>
  <si>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</si>
  <si>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</si>
  <si>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</si>
  <si>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</si>
  <si>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</si>
  <si>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</si>
  <si>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</si>
  <si>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</si>
  <si>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</si>
  <si>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</si>
  <si>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</si>
  <si>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</si>
  <si>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</si>
  <si>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</si>
  <si>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</si>
  <si>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</si>
  <si>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</si>
  <si>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</si>
  <si>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</si>
  <si>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</si>
  <si>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</si>
  <si>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</si>
  <si>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</si>
  <si>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</si>
  <si>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</si>
  <si>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</si>
  <si>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</si>
  <si>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</si>
  <si>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</si>
  <si>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</si>
  <si>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</si>
  <si>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</si>
  <si>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</si>
  <si>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</si>
  <si>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</si>
  <si>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</si>
  <si>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</si>
  <si>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</si>
  <si>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</si>
  <si>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</si>
  <si>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</si>
  <si>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</si>
  <si>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</si>
  <si>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</si>
  <si>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</si>
  <si>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</si>
  <si>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</si>
  <si>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</si>
  <si>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</si>
  <si>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</si>
  <si>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</si>
  <si>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</si>
  <si>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</si>
  <si>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</si>
  <si>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</si>
  <si>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</si>
  <si>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</si>
  <si>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</si>
  <si>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</si>
  <si>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</si>
  <si>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</si>
  <si>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</si>
  <si>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</si>
  <si>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</si>
  <si>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</si>
  <si>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</si>
  <si>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</si>
  <si>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</si>
  <si>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</si>
  <si>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</si>
  <si>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</si>
  <si>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</si>
  <si>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</si>
  <si>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</si>
  <si>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</si>
  <si>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</si>
  <si>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</si>
  <si>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</si>
  <si>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</si>
  <si>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</si>
  <si>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</si>
  <si>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</si>
  <si>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</si>
  <si>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</si>
  <si>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</si>
  <si>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</si>
  <si>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</si>
  <si>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</si>
  <si>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</si>
  <si>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</si>
  <si>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</si>
  <si>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</si>
  <si>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</si>
  <si>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</si>
  <si>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</si>
  <si>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</si>
  <si>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</si>
  <si>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</si>
  <si>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</si>
  <si>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</si>
  <si>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</si>
  <si>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</si>
  <si>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</si>
  <si>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</si>
  <si>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</si>
  <si>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</si>
  <si>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</si>
  <si>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</si>
  <si>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</si>
  <si>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</si>
  <si>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</si>
  <si>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</si>
  <si>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</si>
  <si>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</si>
  <si>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</si>
  <si>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</si>
  <si>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</si>
  <si>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</si>
  <si>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</si>
  <si>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</si>
  <si>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</si>
  <si>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</si>
  <si>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</si>
  <si>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</si>
  <si>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</si>
  <si>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</si>
  <si>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</si>
  <si>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</si>
  <si>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</si>
  <si>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</si>
  <si>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</si>
  <si>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</si>
  <si>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</si>
  <si>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</si>
  <si>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</si>
  <si>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</si>
  <si>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</si>
  <si>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</si>
  <si>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</si>
  <si>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</si>
  <si>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</si>
  <si>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</si>
  <si>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</si>
  <si>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</si>
  <si>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</si>
  <si>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</si>
  <si>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</si>
  <si>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</si>
  <si>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</si>
  <si>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</si>
  <si>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</si>
  <si>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</si>
  <si>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</si>
  <si>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</si>
  <si>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</si>
  <si>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</si>
  <si>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</si>
  <si>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</si>
  <si>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</si>
  <si>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</si>
  <si>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</si>
  <si>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</si>
  <si>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</si>
  <si>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</si>
  <si>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</si>
  <si>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</si>
  <si>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</si>
  <si>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</si>
  <si>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</si>
  <si>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</si>
  <si>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</si>
  <si>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</si>
  <si>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</si>
  <si>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</si>
  <si>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</si>
  <si>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</si>
  <si>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</si>
  <si>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</si>
  <si>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</si>
  <si>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</si>
  <si>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</si>
  <si>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</si>
  <si>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</si>
  <si>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</si>
  <si>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</si>
  <si>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</si>
  <si>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</si>
  <si>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</si>
  <si>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</si>
  <si>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</si>
  <si>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</si>
  <si>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</si>
  <si>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</si>
  <si>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</si>
  <si>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</si>
  <si>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</si>
  <si>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</si>
  <si>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</si>
  <si>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</si>
  <si>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</si>
  <si>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</si>
  <si>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</si>
  <si>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</si>
  <si>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</si>
  <si>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</si>
  <si>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</si>
  <si>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</si>
  <si>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</si>
  <si>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</si>
  <si>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</si>
  <si>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</si>
  <si>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</si>
  <si>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</si>
  <si>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</si>
  <si>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</si>
  <si>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</si>
  <si>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</si>
  <si>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</si>
  <si>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</si>
  <si>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</si>
  <si>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</si>
  <si>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</si>
  <si>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</si>
  <si>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</si>
  <si>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</si>
  <si>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</si>
  <si>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</si>
  <si>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</si>
  <si>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</si>
  <si>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</si>
  <si>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</si>
  <si>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</si>
  <si>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</si>
  <si>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</si>
  <si>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</si>
  <si>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</si>
  <si>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</si>
  <si>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</si>
  <si>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</si>
  <si>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</si>
  <si>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</si>
  <si>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</si>
  <si>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</si>
  <si>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</si>
  <si>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</si>
  <si>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</si>
  <si>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</si>
  <si>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</si>
  <si>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</si>
  <si>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</si>
  <si>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</si>
  <si>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</si>
  <si>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</si>
  <si>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</si>
  <si>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</si>
  <si>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</si>
  <si>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</si>
  <si>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</si>
  <si>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</si>
  <si>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</si>
  <si>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</si>
  <si>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</si>
  <si>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</si>
  <si>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</si>
  <si>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</si>
  <si>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</si>
  <si>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</si>
  <si>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</si>
  <si>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</si>
  <si>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</si>
  <si>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</si>
  <si>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</si>
  <si>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</si>
  <si>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</si>
  <si>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</si>
  <si>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</si>
  <si>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</si>
  <si>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</si>
  <si>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</si>
  <si>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</si>
  <si>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</si>
  <si>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</si>
  <si>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</si>
  <si>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</si>
  <si>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</si>
  <si>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</si>
  <si>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</si>
  <si>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</si>
  <si>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</si>
  <si>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</si>
  <si>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</si>
  <si>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</si>
  <si>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</si>
  <si>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</si>
  <si>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</si>
  <si>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</si>
  <si>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</si>
  <si>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</si>
  <si>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</si>
  <si>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</si>
  <si>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</si>
  <si>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</si>
  <si>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</si>
  <si>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</si>
  <si>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</si>
  <si>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</si>
  <si>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</si>
  <si>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</si>
  <si>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</si>
  <si>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</si>
  <si>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</si>
  <si>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</si>
  <si>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</si>
  <si>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</si>
  <si>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</si>
  <si>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</si>
  <si>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</si>
  <si>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</si>
  <si>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</si>
  <si>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</si>
  <si>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</si>
  <si>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</si>
  <si>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</si>
  <si>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</si>
  <si>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</si>
  <si>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</si>
  <si>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</si>
  <si>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</si>
  <si>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</si>
  <si>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</si>
  <si>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</si>
  <si>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</si>
  <si>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</si>
  <si>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</si>
  <si>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</si>
  <si>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</si>
  <si>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</si>
  <si>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</si>
  <si>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</si>
  <si>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</si>
  <si>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</si>
  <si>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</si>
  <si>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</si>
  <si>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</si>
  <si>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</si>
  <si>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</si>
  <si>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</si>
  <si>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</si>
  <si>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</si>
  <si>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</si>
  <si>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</si>
  <si>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</si>
  <si>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</si>
  <si>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</si>
  <si>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</si>
  <si>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</si>
  <si>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</si>
  <si>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</si>
  <si>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</si>
  <si>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</si>
  <si>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</si>
  <si>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</si>
  <si>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</si>
  <si>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</si>
  <si>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</si>
  <si>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</si>
  <si>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</si>
  <si>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</si>
  <si>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</si>
  <si>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</si>
  <si>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</si>
  <si>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</si>
  <si>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</si>
  <si>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</si>
  <si>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</si>
  <si>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</si>
  <si>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</si>
  <si>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</si>
  <si>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</si>
  <si>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</si>
  <si>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</si>
  <si>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</si>
  <si>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</si>
  <si>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</si>
  <si>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</si>
  <si>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</si>
  <si>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</si>
  <si>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</si>
  <si>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</si>
  <si>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</si>
  <si>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</si>
  <si>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</si>
  <si>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</si>
  <si>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</si>
  <si>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</si>
  <si>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</si>
  <si>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</si>
  <si>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</si>
  <si>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</si>
  <si>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</si>
  <si>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</si>
  <si>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</si>
  <si>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</si>
  <si>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</si>
  <si>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</si>
  <si>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</si>
  <si>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</si>
  <si>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</si>
  <si>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</si>
  <si>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</si>
  <si>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</si>
  <si>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</si>
  <si>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</si>
  <si>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</si>
  <si>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</si>
  <si>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</si>
  <si>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</si>
  <si>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</si>
  <si>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</si>
  <si>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</si>
  <si>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</si>
  <si>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</si>
  <si>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</si>
  <si>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</si>
  <si>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</si>
  <si>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</si>
  <si>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</si>
  <si>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</si>
  <si>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</si>
  <si>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</si>
  <si>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</si>
  <si>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</si>
  <si>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</si>
  <si>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</si>
  <si>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</si>
  <si>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</si>
  <si>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</si>
  <si>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</si>
  <si>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</si>
  <si>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</si>
  <si>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</si>
  <si>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</si>
  <si>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</si>
  <si>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</si>
  <si>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</si>
  <si>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</si>
  <si>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</si>
  <si>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</si>
  <si>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</si>
  <si>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</si>
  <si>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</si>
  <si>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</si>
  <si>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</si>
  <si>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</si>
  <si>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</si>
  <si>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</si>
  <si>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</si>
  <si>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</si>
  <si>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</si>
  <si>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</si>
  <si>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</si>
  <si>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</si>
  <si>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</si>
  <si>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</si>
  <si>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</si>
  <si>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</si>
  <si>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</si>
  <si>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</si>
  <si>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</si>
  <si>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</si>
  <si>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</si>
  <si>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</si>
  <si>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</si>
  <si>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</si>
  <si>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</si>
  <si>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</si>
  <si>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</si>
  <si>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</si>
  <si>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</si>
  <si>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</si>
  <si>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</si>
  <si>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</si>
  <si>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</si>
  <si>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</si>
  <si>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</si>
  <si>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</si>
  <si>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</si>
  <si>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</si>
  <si>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</si>
  <si>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</si>
  <si>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</si>
  <si>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</si>
  <si>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</si>
  <si>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</si>
  <si>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</si>
  <si>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</si>
  <si>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</si>
  <si>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</si>
  <si>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</si>
  <si>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</si>
  <si>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</si>
  <si>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</si>
  <si>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</si>
  <si>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</si>
  <si>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</si>
  <si>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</si>
  <si>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</si>
  <si>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</si>
  <si>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</si>
  <si>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</si>
  <si>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</si>
  <si>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</si>
  <si>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</si>
  <si>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</si>
  <si>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</si>
  <si>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</si>
  <si>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</si>
  <si>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</si>
  <si>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</si>
  <si>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</si>
  <si>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</si>
  <si>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</si>
  <si>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</si>
  <si>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</si>
  <si>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</si>
  <si>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</si>
  <si>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</si>
  <si>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</si>
  <si>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</si>
  <si>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</si>
  <si>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</si>
  <si>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</si>
  <si>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</si>
  <si>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</si>
  <si>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</si>
  <si>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</si>
  <si>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</si>
  <si>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</si>
  <si>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</si>
  <si>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</si>
  <si>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</si>
  <si>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</si>
  <si>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</si>
  <si>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</si>
  <si>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</si>
  <si>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</si>
  <si>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</si>
  <si>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</si>
  <si>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</si>
  <si>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</si>
  <si>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</si>
  <si>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</si>
  <si>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</si>
  <si>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</si>
  <si>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</si>
  <si>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</si>
  <si>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</si>
  <si>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</si>
  <si>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</si>
  <si>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</si>
  <si>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</si>
  <si>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</si>
  <si>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</si>
  <si>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</si>
  <si>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</si>
  <si>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</si>
  <si>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</si>
  <si>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</si>
  <si>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</si>
  <si>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</si>
  <si>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</si>
  <si>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</si>
  <si>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</si>
  <si>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</si>
  <si>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</si>
  <si>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</si>
  <si>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</si>
  <si>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</si>
  <si>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</si>
  <si>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</si>
  <si>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</si>
  <si>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</si>
  <si>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</si>
  <si>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</si>
  <si>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</si>
  <si>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</si>
  <si>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</si>
  <si>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</si>
  <si>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</si>
  <si>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</si>
  <si>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</si>
  <si>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</si>
  <si>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</si>
  <si>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</si>
  <si>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</si>
  <si>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</si>
  <si>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</si>
  <si>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</si>
  <si>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</si>
  <si>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</si>
  <si>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</si>
  <si>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</si>
  <si>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</si>
  <si>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</si>
  <si>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</si>
  <si>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</si>
  <si>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</si>
  <si>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</si>
  <si>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</si>
  <si>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</si>
  <si>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</si>
  <si>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</si>
  <si>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</si>
  <si>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</si>
  <si>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</si>
  <si>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</si>
  <si>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</si>
  <si>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</si>
  <si>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</si>
  <si>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</si>
  <si>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</si>
  <si>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</si>
  <si>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</si>
  <si>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</si>
  <si>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</si>
  <si>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</si>
  <si>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</si>
  <si>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</si>
  <si>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</si>
  <si>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</si>
  <si>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</si>
  <si>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</si>
  <si>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</si>
  <si>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</si>
  <si>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</si>
  <si>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</si>
  <si>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</si>
  <si>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</si>
  <si>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</si>
  <si>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</si>
  <si>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</si>
  <si>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</si>
  <si>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</si>
  <si>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</si>
  <si>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</si>
  <si>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</si>
  <si>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</si>
  <si>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</si>
  <si>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</si>
  <si>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</si>
  <si>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</si>
  <si>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</si>
  <si>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</si>
  <si>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</si>
  <si>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</si>
  <si>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</si>
  <si>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</si>
  <si>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</si>
  <si>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</si>
  <si>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</si>
  <si>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</si>
  <si>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</si>
  <si>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</si>
  <si>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</si>
  <si>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</si>
  <si>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</si>
  <si>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</si>
  <si>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</si>
  <si>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</si>
  <si>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</si>
  <si>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</si>
  <si>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</si>
  <si>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</si>
  <si>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</si>
  <si>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</si>
  <si>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</si>
  <si>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</si>
  <si>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</si>
  <si>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</si>
  <si>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</si>
  <si>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</si>
  <si>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</si>
  <si>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</si>
  <si>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</si>
  <si>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</si>
  <si>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</si>
  <si>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</si>
  <si>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</si>
  <si>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</si>
  <si>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</si>
  <si>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</si>
  <si>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</si>
  <si>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</si>
  <si>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</si>
  <si>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</si>
  <si>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</si>
  <si>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</si>
  <si>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</si>
  <si>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</si>
  <si>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</si>
  <si>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</si>
  <si>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</si>
  <si>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</si>
  <si>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</si>
  <si>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</si>
  <si>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</si>
  <si>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</si>
  <si>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</si>
  <si>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</si>
  <si>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</si>
  <si>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</si>
  <si>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</si>
  <si>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</si>
  <si>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</si>
  <si>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</si>
  <si>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</si>
  <si>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</si>
  <si>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</si>
  <si>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</si>
  <si>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</si>
  <si>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</si>
  <si>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</si>
  <si>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</si>
  <si>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</si>
  <si>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</si>
  <si>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</si>
  <si>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</si>
  <si>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</si>
  <si>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</si>
  <si>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</si>
  <si>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</si>
  <si>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</si>
  <si>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</si>
  <si>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</si>
  <si>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</si>
  <si>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</si>
  <si>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</si>
  <si>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</si>
  <si>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</si>
  <si>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</si>
  <si>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</si>
  <si>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</si>
  <si>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</si>
  <si>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</si>
  <si>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</si>
  <si>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</si>
  <si>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</si>
  <si>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</si>
  <si>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</si>
  <si>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</si>
  <si>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</si>
  <si>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</si>
  <si>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</si>
  <si>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</si>
  <si>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</si>
  <si>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</si>
  <si>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</si>
  <si>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</si>
  <si>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</si>
  <si>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</si>
  <si>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</si>
  <si>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</si>
  <si>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</si>
  <si>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</si>
  <si>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</si>
  <si>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</si>
  <si>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</si>
  <si>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</si>
  <si>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</si>
  <si>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</si>
  <si>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</si>
  <si>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</si>
  <si>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</si>
  <si>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</si>
  <si>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</si>
  <si>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</si>
  <si>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</si>
  <si>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</si>
  <si>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</si>
  <si>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</si>
  <si>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</si>
  <si>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</si>
  <si>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</si>
  <si>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</si>
  <si>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</si>
  <si>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</si>
  <si>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</si>
  <si>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</si>
  <si>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</si>
  <si>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</si>
  <si>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</si>
  <si>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</si>
  <si>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</si>
  <si>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</si>
  <si>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</si>
  <si>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</si>
  <si>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</si>
  <si>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</si>
  <si>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</si>
  <si>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</si>
  <si>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</si>
  <si>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</si>
  <si>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</si>
  <si>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</si>
  <si>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</si>
  <si>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</si>
  <si>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</si>
  <si>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</si>
  <si>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</si>
  <si>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</si>
  <si>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</si>
  <si>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</si>
  <si>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</si>
  <si>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</si>
  <si>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</si>
  <si>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</si>
  <si>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</si>
  <si>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</si>
  <si>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</si>
  <si>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</si>
  <si>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</si>
  <si>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</si>
  <si>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</si>
  <si>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</si>
  <si>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</si>
  <si>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</si>
  <si>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</si>
  <si>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</si>
  <si>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</si>
  <si>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</si>
  <si>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</si>
  <si>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</si>
  <si>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</si>
  <si>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</si>
  <si>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</si>
  <si>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</si>
  <si>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</si>
  <si>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</si>
  <si>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</si>
  <si>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</si>
  <si>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</si>
  <si>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</si>
  <si>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</si>
  <si>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</si>
  <si>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</si>
  <si>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</si>
  <si>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</si>
  <si>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</si>
  <si>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</si>
  <si>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</si>
  <si>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</si>
  <si>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</si>
  <si>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</si>
  <si>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</si>
  <si>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</si>
  <si>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</si>
  <si>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</si>
  <si>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</si>
  <si>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</si>
  <si>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</si>
  <si>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</si>
  <si>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</si>
  <si>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</si>
  <si>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</si>
  <si>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</si>
  <si>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</si>
  <si>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</si>
  <si>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</si>
  <si>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</si>
  <si>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</si>
  <si>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</si>
  <si>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</si>
  <si>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</si>
  <si>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</si>
  <si>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</si>
  <si>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</si>
  <si>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</si>
  <si>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</si>
  <si>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</si>
  <si>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</si>
  <si>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</si>
  <si>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</si>
  <si>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</si>
  <si>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</si>
  <si>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</si>
  <si>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</si>
  <si>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</si>
  <si>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</si>
  <si>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</si>
  <si>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</si>
  <si>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</si>
  <si>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</si>
  <si>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</si>
  <si>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</si>
  <si>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</si>
  <si>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</si>
  <si>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</si>
  <si>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</si>
  <si>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</si>
  <si>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</si>
  <si>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</si>
  <si>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</si>
  <si>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</si>
  <si>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</si>
  <si>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</si>
  <si>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</si>
  <si>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</si>
  <si>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</si>
  <si>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</si>
  <si>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</si>
  <si>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</si>
  <si>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</si>
  <si>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</si>
  <si>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</si>
  <si>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</si>
  <si>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</si>
  <si>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</si>
  <si>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</si>
  <si>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</si>
  <si>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</si>
  <si>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</si>
  <si>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</si>
  <si>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</si>
  <si>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</si>
  <si>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</si>
  <si>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</si>
  <si>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</si>
  <si>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</si>
  <si>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</si>
  <si>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</si>
  <si>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</si>
  <si>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</si>
  <si>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</si>
  <si>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</si>
  <si>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</si>
  <si>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</si>
  <si>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</si>
  <si>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</si>
  <si>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</si>
  <si>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</si>
  <si>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</si>
  <si>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</si>
  <si>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</si>
  <si>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</si>
  <si>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</si>
  <si>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</si>
  <si>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</si>
  <si>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</si>
  <si>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</si>
  <si>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</si>
  <si>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</si>
  <si>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</si>
  <si>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</si>
  <si>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</si>
  <si>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</si>
  <si>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</si>
  <si>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</si>
  <si>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</si>
  <si>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</si>
  <si>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</si>
  <si>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</si>
  <si>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</si>
  <si>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</si>
  <si>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</si>
  <si>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</si>
  <si>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</si>
  <si>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</si>
  <si>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</si>
  <si>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</si>
  <si>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</si>
  <si>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</si>
  <si>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</si>
  <si>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</si>
  <si>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</si>
  <si>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</si>
  <si>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</si>
  <si>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</si>
  <si>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</si>
  <si>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</si>
  <si>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</si>
  <si>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</si>
  <si>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</si>
  <si>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</si>
  <si>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</si>
  <si>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</si>
  <si>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</si>
  <si>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</si>
  <si>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</si>
  <si>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</si>
  <si>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</si>
  <si>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</si>
  <si>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</si>
  <si>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</si>
  <si>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</si>
  <si>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</si>
  <si>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</si>
  <si>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</si>
  <si>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</si>
  <si>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</si>
  <si>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</si>
  <si>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</si>
  <si>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</si>
  <si>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</si>
  <si>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</si>
  <si>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</si>
  <si>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</si>
  <si>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</si>
  <si>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</si>
  <si>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</si>
  <si>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</si>
  <si>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</si>
  <si>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</si>
  <si>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</si>
  <si>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</si>
  <si>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</si>
  <si>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</si>
  <si>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</si>
  <si>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</si>
  <si>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</si>
  <si>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</si>
  <si>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</si>
  <si>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</si>
  <si>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</si>
  <si>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</si>
  <si>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</si>
  <si>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</si>
  <si>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</si>
  <si>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</si>
  <si>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</si>
  <si>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</si>
  <si>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</si>
  <si>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</si>
  <si>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</si>
  <si>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</si>
  <si>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</si>
  <si>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</si>
  <si>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</si>
  <si>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</si>
  <si>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</si>
  <si>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</si>
  <si>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</si>
  <si>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</si>
  <si>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</si>
  <si>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</si>
  <si>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</si>
  <si>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</si>
  <si>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</si>
  <si>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</si>
  <si>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</si>
  <si>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</si>
  <si>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</si>
  <si>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</si>
  <si>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</si>
  <si>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</si>
  <si>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</si>
  <si>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</si>
  <si>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</si>
  <si>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</si>
  <si>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</si>
  <si>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</si>
  <si>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</si>
  <si>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</si>
  <si>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</si>
  <si>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</si>
  <si>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</si>
  <si>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</si>
  <si>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</si>
  <si>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</si>
  <si>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</si>
  <si>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</si>
  <si>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</si>
  <si>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</si>
  <si>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</si>
  <si>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</si>
  <si>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</si>
  <si>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</si>
  <si>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</si>
  <si>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</si>
  <si>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</si>
  <si>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</si>
  <si>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</si>
  <si>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</si>
  <si>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</si>
  <si>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</si>
  <si>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</si>
  <si>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</si>
  <si>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</si>
  <si>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</si>
  <si>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</si>
  <si>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</si>
  <si>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</si>
  <si>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</si>
  <si>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</si>
  <si>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</si>
  <si>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</si>
  <si>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</si>
  <si>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</si>
  <si>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</si>
  <si>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</si>
  <si>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</si>
  <si>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</si>
  <si>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</si>
  <si>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</si>
  <si>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</si>
  <si>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</si>
  <si>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</si>
  <si>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</si>
  <si>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</si>
  <si>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</si>
  <si>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</si>
  <si>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</si>
  <si>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</si>
  <si>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</si>
  <si>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</si>
  <si>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</si>
  <si>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</si>
  <si>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</si>
  <si>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</si>
  <si>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</si>
  <si>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</si>
  <si>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</si>
  <si>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</si>
  <si>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</si>
  <si>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</si>
  <si>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</si>
  <si>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</si>
  <si>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</si>
  <si>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</si>
  <si>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</si>
  <si>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</si>
  <si>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</si>
  <si>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</si>
  <si>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</si>
  <si>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</si>
  <si>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</si>
  <si>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</si>
  <si>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</si>
  <si>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</si>
  <si>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</si>
  <si>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</si>
  <si>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</si>
  <si>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</si>
  <si>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</si>
  <si>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</si>
  <si>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</si>
  <si>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</si>
  <si>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</si>
  <si>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</si>
  <si>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</si>
  <si>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</si>
  <si>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</si>
  <si>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</si>
  <si>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</si>
  <si>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</si>
  <si>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</si>
  <si>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</si>
  <si>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</si>
  <si>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</si>
  <si>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</si>
  <si>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</si>
  <si>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</si>
  <si>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</si>
  <si>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</si>
  <si>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</si>
  <si>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</si>
  <si>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</si>
  <si>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</si>
  <si>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</si>
  <si>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</si>
  <si>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</si>
  <si>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</si>
  <si>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</si>
  <si>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</si>
  <si>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</si>
  <si>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</si>
  <si>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</si>
  <si>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</si>
  <si>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</si>
  <si>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</si>
  <si>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</si>
  <si>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</si>
  <si>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</si>
  <si>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</si>
  <si>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</si>
  <si>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</si>
  <si>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</si>
  <si>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</si>
  <si>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</si>
  <si>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</si>
  <si>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</si>
  <si>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</si>
  <si>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</si>
  <si>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</si>
  <si>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</si>
  <si>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</si>
  <si>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</si>
  <si>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</si>
  <si>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</si>
  <si>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</si>
  <si>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</si>
  <si>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</si>
  <si>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</si>
  <si>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</si>
  <si>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</si>
  <si>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</si>
  <si>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</si>
  <si>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</si>
  <si>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</si>
  <si>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</si>
  <si>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</si>
  <si>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</si>
  <si>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</si>
  <si>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</si>
  <si>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</si>
  <si>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</si>
  <si>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</si>
  <si>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</si>
  <si>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</si>
  <si>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</si>
  <si>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</si>
  <si>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</si>
  <si>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</si>
  <si>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</si>
  <si>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</si>
  <si>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</si>
  <si>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</si>
  <si>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</si>
  <si>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</si>
  <si>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</si>
  <si>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</si>
  <si>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</si>
  <si>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</si>
  <si>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</si>
  <si>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</si>
  <si>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</si>
  <si>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</si>
  <si>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</si>
  <si>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</si>
  <si>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</si>
  <si>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</si>
  <si>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</si>
  <si>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</si>
  <si>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</si>
  <si>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</si>
  <si>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</si>
  <si>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</si>
  <si>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</si>
  <si>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</si>
  <si>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</si>
  <si>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</si>
  <si>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</si>
  <si>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</si>
  <si>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</si>
  <si>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</si>
  <si>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</si>
  <si>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</si>
  <si>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</si>
  <si>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</si>
  <si>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</si>
  <si>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</si>
  <si>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</si>
  <si>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</si>
  <si>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</si>
  <si>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</si>
  <si>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</si>
  <si>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</si>
  <si>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</si>
  <si>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</si>
  <si>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</si>
  <si>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</si>
  <si>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</si>
  <si>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</si>
  <si>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</si>
  <si>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</si>
  <si>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</si>
  <si>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</si>
  <si>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</si>
  <si>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</si>
  <si>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</si>
  <si>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</si>
  <si>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</si>
  <si>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</si>
  <si>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</si>
  <si>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</si>
  <si>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</si>
  <si>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</si>
  <si>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</si>
  <si>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</si>
  <si>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</si>
  <si>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</si>
  <si>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</si>
  <si>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</si>
  <si>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</si>
  <si>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</si>
  <si>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</si>
  <si>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</si>
  <si>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</si>
  <si>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</si>
  <si>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</si>
  <si>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</si>
  <si>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</si>
  <si>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</si>
  <si>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</si>
  <si>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</si>
  <si>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</si>
  <si>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</si>
  <si>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</si>
  <si>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</si>
  <si>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</si>
  <si>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</si>
  <si>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</si>
  <si>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</si>
  <si>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</si>
  <si>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</si>
  <si>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</si>
  <si>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</si>
  <si>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</si>
  <si>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</si>
  <si>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</si>
  <si>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</si>
  <si>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</si>
  <si>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</si>
  <si>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</si>
  <si>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</si>
  <si>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</si>
  <si>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</si>
  <si>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</si>
  <si>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</si>
  <si>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</si>
  <si>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</si>
  <si>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</si>
  <si>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</si>
  <si>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</si>
  <si>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</si>
  <si>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</si>
  <si>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</si>
  <si>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</si>
  <si>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</si>
  <si>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</si>
  <si>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</si>
  <si>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</si>
  <si>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</si>
  <si>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</si>
  <si>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</si>
  <si>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</si>
  <si>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</si>
  <si>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</si>
  <si>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</si>
  <si>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</si>
  <si>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</si>
  <si>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</si>
  <si>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</si>
  <si>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</si>
  <si>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</si>
  <si>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</si>
  <si>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</si>
  <si>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</si>
  <si>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</si>
  <si>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</si>
  <si>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</si>
  <si>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</si>
  <si>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</si>
  <si>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</si>
  <si>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</si>
  <si>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</si>
  <si>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</si>
  <si>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</si>
  <si>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</si>
  <si>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</si>
  <si>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</si>
  <si>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</si>
  <si>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</si>
  <si>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</si>
  <si>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</si>
  <si>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</si>
  <si>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</si>
  <si>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</si>
  <si>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</si>
  <si>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</si>
  <si>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</si>
  <si>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</si>
  <si>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</si>
  <si>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</si>
  <si>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</si>
  <si>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</si>
  <si>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</si>
  <si>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</si>
  <si>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</si>
  <si>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</si>
  <si>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</si>
  <si>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</si>
  <si>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</si>
  <si>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</si>
  <si>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</si>
  <si>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</si>
  <si>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</si>
  <si>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</si>
  <si>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</si>
  <si>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</si>
  <si>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</si>
  <si>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</si>
  <si>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</si>
  <si>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</si>
  <si>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</si>
  <si>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</si>
  <si>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</si>
  <si>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</si>
  <si>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</si>
  <si>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</si>
  <si>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</si>
  <si>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</si>
  <si>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</si>
  <si>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</si>
  <si>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</si>
  <si>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</si>
  <si>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</si>
  <si>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</si>
  <si>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</si>
  <si>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</si>
  <si>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</si>
  <si>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</si>
  <si>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</si>
  <si>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</si>
  <si>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</si>
  <si>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</si>
  <si>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</si>
  <si>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</si>
  <si>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</si>
  <si>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</si>
  <si>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</si>
  <si>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</si>
  <si>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</si>
  <si>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</si>
  <si>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</si>
  <si>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</si>
  <si>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</si>
  <si>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</si>
  <si>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</si>
  <si>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</si>
  <si>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</si>
  <si>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</si>
  <si>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</si>
  <si>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</si>
  <si>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</si>
  <si>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</si>
  <si>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</si>
  <si>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</si>
  <si>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</si>
  <si>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</si>
  <si>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</si>
  <si>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</si>
  <si>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</si>
  <si>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</si>
  <si>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</si>
  <si>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</si>
  <si>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</si>
  <si>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</si>
  <si>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</si>
  <si>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</si>
  <si>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</si>
  <si>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</si>
  <si>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</si>
  <si>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</si>
  <si>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</si>
  <si>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</si>
  <si>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</si>
  <si>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</si>
  <si>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</si>
  <si>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</si>
  <si>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</si>
  <si>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</si>
  <si>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</si>
  <si>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</si>
  <si>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</si>
  <si>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</si>
  <si>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</si>
  <si>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</si>
  <si>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</si>
  <si>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</si>
  <si>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</si>
  <si>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</si>
  <si>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</si>
  <si>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</si>
  <si>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</si>
  <si>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</si>
  <si>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</si>
  <si>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</si>
  <si>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</si>
  <si>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</si>
  <si>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</si>
  <si>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</si>
  <si>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</si>
  <si>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</si>
  <si>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</si>
  <si>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</si>
  <si>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</si>
  <si>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</si>
  <si>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</si>
  <si>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</si>
  <si>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</si>
  <si>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</si>
  <si>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</si>
  <si>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</si>
  <si>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</si>
  <si>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</si>
  <si>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</si>
  <si>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</si>
  <si>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</si>
  <si>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</si>
  <si>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</si>
  <si>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</si>
  <si>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</si>
  <si>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</si>
  <si>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</si>
  <si>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</si>
  <si>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</si>
  <si>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</si>
  <si>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</si>
  <si>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</si>
  <si>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</si>
  <si>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</si>
  <si>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</si>
  <si>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</si>
  <si>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</si>
  <si>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</si>
  <si>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</si>
  <si>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</si>
  <si>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</si>
  <si>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</si>
  <si>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</si>
  <si>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</si>
  <si>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</si>
  <si>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</si>
  <si>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</si>
  <si>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</si>
  <si>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</si>
  <si>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</si>
  <si>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</si>
  <si>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</si>
  <si>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</si>
  <si>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</si>
  <si>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</si>
  <si>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</si>
  <si>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</si>
  <si>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</si>
  <si>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</si>
  <si>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</si>
  <si>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</si>
  <si>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</si>
  <si>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</si>
  <si>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</si>
  <si>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</si>
  <si>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</si>
  <si>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</si>
  <si>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</si>
  <si>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</si>
  <si>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</si>
  <si>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</si>
  <si>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</si>
  <si>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</si>
  <si>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</si>
  <si>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</si>
  <si>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</si>
  <si>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</si>
  <si>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</si>
  <si>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</si>
  <si>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</si>
  <si>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</si>
  <si>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</si>
  <si>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</si>
  <si>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</si>
  <si>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</si>
  <si>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</si>
  <si>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</si>
  <si>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</si>
  <si>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</si>
  <si>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</si>
  <si>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</si>
  <si>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</si>
  <si>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</si>
  <si>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</si>
  <si>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</si>
  <si>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</si>
  <si>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</si>
  <si>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</si>
  <si>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</si>
  <si>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</si>
  <si>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</si>
  <si>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</si>
  <si>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</si>
  <si>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</si>
  <si>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</si>
  <si>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</si>
  <si>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</si>
  <si>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</si>
  <si>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</si>
  <si>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</si>
  <si>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</si>
  <si>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</si>
  <si>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</si>
  <si>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</si>
  <si>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</si>
  <si>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</si>
  <si>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</si>
  <si>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</si>
  <si>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</si>
  <si>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</si>
  <si>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</si>
  <si>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</si>
  <si>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</si>
  <si>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</si>
  <si>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</si>
  <si>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</si>
  <si>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</si>
  <si>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</si>
  <si>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</si>
  <si>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</si>
  <si>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</si>
  <si>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</si>
  <si>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</si>
  <si>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</si>
  <si>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</si>
  <si>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</si>
  <si>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</si>
  <si>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</si>
  <si>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</si>
  <si>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</si>
  <si>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</si>
  <si>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</si>
  <si>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</si>
  <si>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</si>
  <si>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</si>
  <si>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</si>
  <si>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</si>
  <si>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</si>
  <si>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</si>
  <si>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</si>
  <si>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</si>
  <si>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</si>
  <si>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</si>
  <si>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</si>
  <si>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</si>
  <si>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</si>
  <si>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</si>
  <si>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</si>
  <si>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</si>
  <si>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</si>
  <si>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</si>
  <si>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</si>
  <si>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</si>
  <si>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</si>
  <si>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</si>
  <si>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</si>
  <si>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</si>
  <si>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</si>
  <si>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</si>
  <si>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</si>
  <si>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</si>
  <si>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</si>
  <si>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</si>
  <si>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</si>
  <si>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</si>
  <si>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</si>
  <si>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</si>
  <si>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</si>
  <si>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</si>
  <si>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</si>
  <si>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</si>
  <si>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</si>
  <si>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</si>
  <si>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</si>
  <si>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</si>
  <si>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</si>
  <si>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</si>
  <si>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</si>
  <si>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</si>
  <si>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</si>
  <si>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</si>
  <si>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</si>
  <si>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</si>
  <si>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</si>
  <si>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</si>
  <si>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</si>
  <si>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</si>
  <si>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</si>
  <si>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</si>
  <si>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</si>
  <si>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</si>
  <si>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</si>
  <si>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</si>
  <si>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</si>
  <si>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</si>
  <si>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</si>
  <si>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</si>
  <si>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</si>
  <si>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</si>
  <si>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</si>
  <si>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</si>
  <si>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</si>
  <si>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</si>
  <si>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</si>
  <si>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</si>
  <si>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</si>
  <si>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</si>
  <si>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</si>
  <si>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</si>
  <si>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</si>
  <si>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</si>
  <si>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</si>
  <si>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</si>
  <si>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</si>
  <si>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</si>
  <si>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</si>
  <si>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</si>
  <si>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</si>
  <si>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</si>
  <si>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</si>
  <si>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</si>
  <si>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</si>
  <si>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</si>
  <si>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</si>
  <si>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</si>
  <si>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</si>
  <si>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</si>
  <si>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</si>
  <si>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</si>
  <si>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</si>
  <si>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</si>
  <si>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</si>
  <si>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</si>
  <si>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</si>
  <si>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</si>
  <si>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</si>
  <si>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</si>
  <si>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</si>
  <si>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</si>
  <si>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</si>
  <si>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</si>
  <si>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</si>
  <si>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</si>
  <si>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</si>
  <si>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</si>
  <si>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</si>
  <si>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</si>
  <si>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</si>
  <si>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</si>
  <si>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</si>
  <si>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</si>
  <si>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</si>
  <si>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</si>
  <si>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</si>
  <si>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</si>
  <si>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</si>
  <si>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</si>
  <si>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</si>
  <si>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</si>
  <si>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</si>
  <si>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</si>
  <si>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</si>
  <si>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</si>
  <si>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</si>
  <si>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</si>
  <si>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</si>
  <si>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</si>
  <si>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</si>
  <si>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</si>
  <si>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</si>
  <si>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</si>
  <si>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</si>
  <si>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</si>
  <si>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</si>
  <si>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</si>
  <si>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</si>
  <si>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</si>
  <si>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</si>
  <si>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</si>
  <si>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</si>
  <si>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</si>
  <si>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</si>
  <si>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</si>
  <si>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</si>
  <si>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</si>
  <si>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</si>
  <si>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</si>
  <si>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</si>
  <si>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</si>
  <si>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</si>
  <si>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</si>
  <si>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</si>
  <si>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</si>
  <si>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</si>
  <si>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</si>
  <si>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</si>
  <si>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</si>
  <si>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</si>
  <si>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</si>
  <si>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</si>
  <si>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</si>
  <si>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</si>
  <si>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</si>
  <si>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</si>
  <si>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</si>
  <si>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</si>
  <si>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</si>
  <si>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</si>
  <si>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</si>
  <si>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</si>
  <si>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</si>
  <si>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</si>
  <si>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</si>
  <si>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</si>
  <si>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</si>
  <si>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</si>
  <si>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</si>
  <si>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</si>
  <si>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</si>
  <si>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</si>
  <si>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</si>
  <si>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</si>
  <si>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</si>
  <si>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</si>
  <si>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</si>
  <si>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</si>
  <si>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</si>
  <si>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</si>
  <si>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</si>
  <si>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</si>
  <si>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</si>
  <si>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</si>
  <si>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</si>
  <si>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</si>
  <si>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</si>
  <si>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</si>
  <si>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</si>
  <si>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</si>
  <si>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</si>
  <si>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</si>
  <si>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</si>
  <si>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</si>
  <si>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</si>
  <si>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</si>
  <si>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</si>
  <si>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</si>
  <si>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</si>
  <si>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</si>
  <si>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</si>
  <si>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</si>
  <si>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</si>
  <si>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</si>
  <si>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</si>
  <si>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</si>
  <si>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</si>
  <si>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</si>
  <si>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</si>
  <si>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</si>
  <si>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</si>
  <si>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</si>
  <si>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</si>
  <si>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</si>
  <si>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</si>
  <si>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</si>
  <si>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</si>
  <si>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</si>
  <si>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</si>
  <si>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</si>
  <si>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</si>
  <si>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</si>
  <si>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</si>
  <si>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</si>
  <si>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</si>
  <si>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</si>
  <si>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</si>
  <si>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</si>
  <si>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</si>
  <si>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</si>
  <si>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</si>
  <si>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</si>
  <si>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</si>
  <si>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</si>
  <si>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</si>
  <si>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</si>
  <si>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</si>
  <si>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</si>
  <si>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</si>
  <si>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</si>
  <si>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</si>
  <si>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</si>
  <si>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</si>
  <si>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</si>
  <si>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</si>
  <si>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</si>
  <si>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</si>
  <si>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</si>
  <si>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</si>
  <si>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</si>
  <si>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</si>
  <si>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</si>
  <si>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</si>
  <si>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</si>
  <si>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</si>
  <si>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</si>
  <si>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</si>
  <si>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</si>
  <si>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</si>
  <si>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</si>
  <si>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</si>
  <si>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</si>
  <si>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</si>
  <si>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</si>
  <si>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</si>
  <si>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</si>
  <si>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</si>
  <si>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</si>
  <si>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</si>
  <si>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</si>
  <si>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</si>
  <si>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</si>
  <si>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</si>
  <si>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</si>
  <si>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</si>
  <si>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</si>
  <si>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</si>
  <si>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</si>
  <si>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</si>
  <si>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</si>
  <si>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</si>
  <si>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</si>
  <si>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</si>
  <si>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</si>
  <si>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</si>
  <si>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</si>
  <si>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</si>
  <si>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</si>
  <si>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</si>
  <si>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</si>
  <si>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</si>
  <si>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</si>
  <si>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</si>
  <si>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</si>
  <si>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</si>
  <si>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</si>
  <si>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</si>
  <si>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</si>
  <si>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</si>
  <si>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</si>
  <si>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</si>
  <si>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</si>
  <si>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</si>
  <si>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</si>
  <si>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</si>
  <si>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</si>
  <si>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</si>
  <si>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</si>
  <si>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</si>
  <si>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</si>
  <si>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</si>
  <si>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</si>
  <si>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</si>
  <si>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</si>
  <si>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</si>
  <si>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</si>
  <si>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</si>
  <si>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</si>
  <si>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</si>
  <si>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</si>
  <si>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</si>
  <si>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</si>
  <si>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</si>
  <si>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</si>
  <si>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</si>
  <si>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</si>
  <si>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</si>
  <si>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</si>
  <si>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</si>
  <si>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</si>
  <si>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</si>
  <si>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</si>
  <si>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</si>
  <si>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</si>
  <si>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</si>
  <si>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</si>
  <si>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</si>
  <si>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</si>
  <si>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</si>
  <si>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</si>
  <si>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</si>
  <si>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</si>
  <si>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</si>
  <si>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</si>
  <si>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</si>
  <si>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</si>
  <si>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</si>
  <si>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</si>
  <si>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</si>
  <si>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</si>
  <si>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</si>
  <si>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</si>
  <si>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</si>
  <si>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</si>
  <si>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</si>
  <si>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</si>
  <si>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</si>
  <si>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</si>
  <si>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</si>
  <si>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</si>
  <si>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</si>
  <si>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</si>
  <si>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</si>
  <si>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</si>
  <si>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</si>
  <si>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</si>
  <si>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</si>
  <si>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</si>
  <si>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</si>
  <si>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</si>
  <si>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</si>
  <si>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</si>
  <si>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</si>
  <si>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</si>
  <si>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</si>
  <si>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</si>
  <si>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</si>
  <si>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</si>
  <si>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</si>
  <si>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</si>
  <si>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</si>
  <si>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</si>
  <si>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</si>
  <si>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</si>
  <si>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</si>
  <si>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</si>
  <si>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</si>
  <si>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</si>
  <si>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</si>
  <si>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</si>
  <si>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</si>
  <si>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</si>
  <si>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</si>
  <si>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</si>
  <si>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</si>
  <si>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</si>
  <si>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</si>
  <si>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</si>
  <si>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</si>
  <si>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</si>
  <si>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</si>
  <si>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</si>
  <si>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</si>
  <si>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</si>
  <si>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</si>
  <si>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</si>
  <si>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</si>
  <si>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</si>
  <si>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</si>
  <si>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</si>
  <si>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</si>
  <si>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</si>
  <si>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</si>
  <si>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</si>
  <si>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</si>
  <si>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</si>
  <si>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</si>
  <si>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</si>
  <si>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</si>
  <si>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</si>
  <si>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</si>
  <si>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</si>
  <si>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</si>
  <si>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</si>
  <si>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</si>
  <si>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</si>
  <si>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</si>
  <si>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</si>
  <si>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</si>
  <si>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</si>
  <si>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</si>
  <si>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</si>
  <si>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</si>
  <si>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</si>
  <si>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</si>
  <si>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</si>
  <si>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</si>
  <si>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</si>
  <si>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</si>
  <si>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</si>
  <si>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</si>
  <si>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</si>
  <si>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</si>
  <si>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</si>
  <si>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</si>
  <si>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</si>
  <si>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</si>
  <si>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</si>
  <si>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</si>
  <si>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</si>
  <si>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</si>
  <si>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</si>
  <si>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</si>
  <si>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</si>
  <si>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</si>
  <si>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</si>
  <si>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</si>
  <si>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</si>
  <si>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</si>
  <si>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</si>
  <si>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</si>
  <si>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</si>
  <si>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</si>
  <si>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</si>
  <si>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</si>
  <si>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</si>
  <si>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</si>
  <si>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</si>
  <si>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</si>
  <si>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</si>
  <si>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</si>
  <si>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</si>
  <si>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</si>
  <si>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</si>
  <si>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</si>
  <si>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</si>
  <si>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</si>
  <si>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</si>
  <si>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</si>
  <si>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</si>
  <si>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</si>
  <si>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</si>
  <si>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</si>
  <si>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</si>
  <si>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</si>
  <si>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</si>
  <si>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</si>
  <si>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</si>
  <si>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</si>
  <si>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</si>
  <si>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</si>
  <si>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</si>
  <si>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</si>
  <si>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</si>
  <si>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</si>
  <si>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</si>
  <si>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</si>
  <si>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</si>
  <si>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</si>
  <si>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</si>
  <si>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</si>
  <si>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</si>
  <si>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</si>
  <si>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</si>
  <si>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</si>
  <si>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</si>
  <si>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</si>
  <si>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</si>
  <si>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</si>
  <si>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</si>
  <si>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</si>
  <si>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</si>
  <si>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</si>
  <si>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</si>
  <si>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</si>
  <si>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</si>
  <si>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</si>
  <si>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</si>
  <si>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</si>
  <si>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</si>
  <si>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</si>
  <si>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</si>
  <si>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</si>
  <si>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</si>
  <si>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</si>
  <si>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</si>
  <si>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</si>
  <si>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</si>
  <si>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</si>
  <si>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</si>
  <si>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</si>
  <si>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</si>
  <si>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</si>
  <si>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</si>
  <si>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</si>
  <si>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</si>
  <si>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</si>
  <si>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</si>
  <si>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</si>
  <si>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</si>
  <si>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</si>
  <si>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</si>
  <si>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</si>
  <si>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</si>
  <si>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</si>
  <si>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</si>
  <si>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</si>
  <si>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</si>
  <si>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</si>
  <si>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</si>
  <si>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</si>
  <si>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</si>
  <si>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</si>
  <si>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</si>
  <si>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</si>
  <si>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</si>
  <si>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</si>
  <si>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</si>
  <si>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</si>
  <si>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</si>
  <si>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</si>
  <si>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</si>
  <si>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</si>
  <si>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</si>
  <si>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</si>
  <si>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</si>
  <si>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</si>
  <si>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</si>
  <si>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</si>
  <si>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</si>
  <si>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</si>
  <si>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</si>
  <si>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</si>
  <si>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</si>
  <si>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</si>
  <si>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</si>
  <si>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</si>
  <si>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</si>
  <si>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</si>
  <si>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</si>
  <si>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</si>
  <si>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</si>
  <si>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</si>
  <si>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</si>
  <si>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</si>
  <si>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</si>
  <si>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</si>
  <si>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</si>
  <si>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</si>
  <si>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</si>
  <si>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</si>
  <si>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</si>
  <si>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</si>
  <si>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</si>
  <si>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</si>
  <si>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</si>
  <si>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</si>
  <si>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</si>
  <si>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</si>
  <si>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</si>
  <si>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</si>
  <si>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</si>
  <si>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</si>
  <si>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</si>
  <si>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</si>
  <si>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</si>
  <si>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</si>
  <si>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</si>
  <si>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</si>
  <si>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</si>
  <si>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</si>
  <si>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</si>
  <si>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</si>
  <si>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</si>
  <si>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</si>
  <si>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</si>
  <si>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</si>
  <si>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</si>
  <si>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</si>
  <si>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</si>
  <si>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</si>
  <si>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</si>
  <si>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</si>
  <si>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</si>
  <si>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</si>
  <si>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</si>
  <si>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</si>
  <si>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</si>
  <si>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</si>
  <si>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</si>
  <si>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</si>
  <si>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</si>
  <si>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</si>
  <si>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</si>
  <si>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</si>
  <si>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</si>
  <si>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</si>
  <si>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</si>
  <si>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</si>
  <si>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</si>
  <si>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</si>
  <si>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</si>
  <si>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</si>
  <si>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</si>
  <si>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</si>
  <si>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</si>
  <si>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</si>
  <si>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</si>
  <si>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</si>
  <si>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</si>
  <si>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</si>
  <si>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</si>
  <si>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</si>
  <si>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</si>
  <si>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</si>
  <si>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</si>
  <si>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</si>
  <si>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</si>
  <si>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</si>
  <si>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</si>
  <si>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</si>
  <si>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</si>
  <si>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</si>
  <si>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</si>
  <si>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</si>
  <si>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</si>
  <si>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</si>
  <si>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</si>
  <si>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</si>
  <si>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</si>
  <si>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</si>
  <si>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</si>
  <si>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</si>
  <si>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</si>
  <si>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</si>
  <si>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</si>
  <si>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</si>
  <si>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</si>
  <si>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</si>
  <si>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</si>
  <si>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</si>
  <si>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</si>
  <si>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</si>
  <si>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</si>
  <si>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</si>
  <si>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</si>
  <si>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</si>
  <si>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</si>
  <si>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</si>
  <si>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</si>
  <si>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</si>
  <si>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</si>
  <si>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</si>
  <si>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</si>
  <si>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</si>
  <si>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</si>
  <si>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</si>
  <si>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</si>
  <si>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</si>
  <si>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</si>
  <si>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</si>
  <si>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</si>
  <si>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</si>
  <si>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</si>
  <si>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</si>
  <si>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</si>
  <si>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</si>
  <si>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</si>
  <si>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</si>
  <si>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</si>
  <si>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</si>
  <si>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</si>
  <si>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</si>
  <si>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</si>
  <si>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</si>
  <si>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</si>
  <si>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</si>
  <si>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</si>
  <si>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</si>
  <si>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</si>
  <si>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</si>
  <si>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</si>
  <si>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</si>
  <si>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</si>
  <si>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</si>
  <si>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</si>
  <si>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</si>
  <si>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</si>
  <si>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</si>
  <si>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</si>
  <si>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</si>
  <si>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</si>
  <si>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</si>
  <si>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</si>
  <si>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</si>
  <si>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</si>
  <si>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</si>
  <si>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</si>
  <si>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</si>
  <si>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</si>
  <si>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</si>
  <si>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</si>
  <si>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</si>
  <si>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</si>
  <si>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</si>
  <si>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</si>
  <si>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</si>
  <si>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</si>
  <si>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</si>
  <si>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</si>
  <si>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</si>
  <si>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</si>
  <si>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</si>
  <si>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</si>
  <si>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</si>
  <si>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</si>
  <si>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</si>
  <si>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</si>
  <si>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</si>
  <si>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</si>
  <si>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</si>
  <si>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</si>
  <si>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</si>
  <si>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</si>
  <si>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</si>
  <si>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</si>
  <si>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</si>
  <si>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</si>
  <si>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</si>
  <si>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</si>
  <si>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</si>
  <si>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</si>
  <si>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</si>
  <si>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</si>
  <si>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</si>
  <si>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</si>
  <si>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</si>
  <si>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</si>
  <si>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</si>
  <si>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</si>
  <si>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</si>
  <si>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</si>
  <si>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</si>
  <si>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</si>
  <si>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</si>
  <si>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</si>
  <si>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</si>
  <si>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</si>
  <si>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</si>
  <si>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</si>
  <si>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</si>
  <si>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</si>
  <si>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</si>
  <si>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</si>
  <si>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</si>
  <si>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</si>
  <si>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</si>
  <si>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</si>
  <si>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</si>
  <si>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</si>
  <si>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</si>
  <si>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</si>
  <si>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</si>
  <si>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</si>
  <si>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</si>
  <si>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</si>
  <si>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</si>
  <si>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</si>
  <si>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</si>
  <si>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</si>
  <si>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</si>
  <si>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</si>
  <si>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</si>
  <si>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</si>
  <si>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</si>
  <si>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</si>
  <si>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</si>
  <si>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</si>
  <si>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</si>
  <si>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</si>
  <si>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</si>
  <si>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</si>
  <si>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</si>
  <si>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</si>
  <si>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</si>
  <si>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</si>
  <si>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</si>
  <si>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</si>
  <si>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</si>
  <si>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</si>
  <si>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</si>
  <si>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</si>
  <si>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</si>
  <si>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</si>
  <si>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</si>
  <si>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</si>
  <si>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</si>
  <si>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</si>
  <si>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</si>
  <si>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</si>
  <si>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</si>
  <si>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</si>
  <si>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</si>
  <si>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</si>
  <si>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</si>
  <si>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</si>
  <si>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</si>
  <si>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</si>
  <si>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</si>
  <si>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</si>
  <si>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</si>
  <si>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</si>
  <si>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</si>
  <si>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</si>
  <si>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</si>
  <si>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</si>
  <si>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</si>
  <si>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</si>
  <si>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</si>
  <si>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</si>
  <si>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</si>
  <si>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</si>
  <si>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</si>
  <si>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</si>
  <si>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</si>
  <si>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</si>
  <si>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</si>
  <si>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</si>
  <si>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</si>
  <si>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</si>
  <si>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</si>
  <si>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</si>
  <si>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</si>
  <si>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</si>
  <si>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</si>
  <si>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</si>
  <si>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</si>
  <si>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</si>
  <si>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</si>
  <si>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</si>
  <si>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</si>
  <si>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</si>
  <si>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</si>
  <si>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</si>
  <si>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</si>
  <si>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</si>
  <si>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</si>
  <si>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</si>
  <si>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</si>
  <si>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</si>
  <si>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</si>
  <si>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</si>
  <si>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</si>
  <si>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</si>
  <si>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</si>
  <si>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</si>
  <si>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</si>
  <si>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</si>
  <si>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</si>
  <si>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</si>
  <si>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</si>
  <si>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</si>
  <si>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</si>
  <si>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</si>
  <si>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</si>
  <si>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</si>
  <si>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</si>
  <si>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</si>
  <si>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</si>
  <si>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</si>
  <si>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</si>
  <si>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</si>
  <si>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</si>
  <si>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</si>
  <si>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</si>
  <si>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</si>
  <si>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</si>
  <si>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</si>
  <si>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</si>
  <si>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</si>
  <si>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</si>
  <si>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</si>
  <si>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</si>
  <si>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</si>
  <si>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</si>
  <si>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</si>
  <si>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</si>
  <si>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</si>
  <si>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</si>
  <si>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</si>
  <si>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</si>
  <si>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</si>
  <si>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</si>
  <si>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</si>
  <si>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</si>
  <si>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</si>
  <si>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</si>
  <si>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</si>
  <si>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</si>
  <si>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</si>
  <si>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</si>
  <si>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</si>
  <si>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</si>
  <si>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</si>
  <si>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</si>
  <si>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</si>
  <si>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</si>
  <si>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</si>
  <si>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</si>
  <si>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</si>
  <si>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</si>
  <si>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</si>
  <si>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</si>
  <si>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</si>
  <si>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</si>
  <si>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</si>
  <si>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</si>
  <si>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</si>
  <si>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</si>
  <si>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</si>
  <si>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</si>
  <si>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</si>
  <si>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</si>
  <si>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</si>
  <si>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</si>
  <si>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</si>
  <si>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</si>
  <si>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</si>
  <si>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</si>
  <si>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</si>
  <si>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</si>
  <si>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</si>
  <si>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</si>
  <si>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</si>
  <si>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</si>
  <si>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</si>
  <si>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</si>
  <si>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</si>
  <si>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</si>
  <si>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</si>
  <si>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</si>
  <si>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</si>
  <si>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</si>
  <si>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</si>
  <si>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</si>
  <si>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</si>
  <si>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</si>
  <si>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</si>
  <si>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</si>
  <si>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</si>
  <si>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</si>
  <si>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</si>
  <si>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</si>
  <si>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</si>
  <si>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</si>
  <si>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</si>
  <si>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</si>
  <si>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</si>
  <si>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</si>
  <si>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</si>
  <si>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</si>
  <si>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</si>
  <si>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</si>
  <si>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</si>
  <si>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</si>
  <si>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</si>
  <si>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</si>
  <si>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</si>
  <si>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</si>
  <si>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</si>
  <si>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</si>
  <si>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</si>
  <si>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</si>
  <si>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</si>
  <si>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</si>
  <si>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</si>
  <si>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</si>
  <si>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</si>
  <si>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</si>
  <si>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</si>
  <si>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</si>
  <si>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</si>
  <si>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</si>
  <si>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</si>
  <si>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</si>
  <si>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</si>
  <si>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</si>
  <si>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</si>
  <si>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</si>
  <si>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</si>
  <si>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</si>
  <si>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</si>
  <si>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</si>
  <si>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</si>
  <si>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</si>
  <si>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</si>
  <si>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</si>
  <si>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</si>
  <si>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</si>
  <si>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</si>
  <si>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</si>
  <si>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</si>
  <si>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</si>
  <si>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</si>
  <si>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</si>
  <si>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</si>
  <si>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</si>
  <si>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</si>
  <si>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</si>
  <si>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</si>
  <si>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</si>
  <si>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</si>
  <si>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</si>
  <si>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</si>
  <si>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</si>
  <si>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</si>
  <si>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</si>
  <si>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</si>
  <si>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</si>
  <si>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</si>
  <si>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</si>
  <si>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</si>
  <si>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</si>
  <si>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</si>
  <si>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</si>
  <si>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</si>
  <si>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</si>
  <si>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</si>
  <si>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</si>
  <si>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</si>
  <si>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</si>
  <si>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</si>
  <si>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</si>
  <si>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</si>
  <si>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</si>
  <si>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</si>
  <si>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</si>
  <si>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</si>
  <si>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</si>
  <si>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</si>
  <si>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</si>
  <si>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</si>
  <si>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</si>
  <si>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</si>
  <si>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</si>
  <si>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</si>
  <si>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</si>
  <si>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</si>
  <si>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</si>
  <si>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</si>
  <si>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</si>
  <si>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</si>
  <si>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</si>
  <si>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</si>
  <si>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</si>
  <si>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</si>
  <si>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</si>
  <si>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</si>
  <si>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</si>
  <si>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</si>
  <si>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</si>
  <si>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</si>
  <si>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</si>
  <si>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</si>
  <si>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</si>
  <si>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</si>
  <si>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</si>
  <si>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</si>
  <si>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</si>
  <si>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</si>
  <si>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</si>
  <si>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</si>
  <si>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</si>
  <si>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</si>
  <si>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</si>
  <si>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</si>
  <si>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</si>
  <si>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</si>
  <si>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</si>
  <si>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</si>
  <si>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</si>
  <si>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</si>
  <si>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</si>
  <si>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</si>
  <si>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</si>
  <si>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</si>
  <si>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</si>
  <si>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</si>
  <si>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</si>
  <si>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</si>
  <si>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</si>
  <si>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</si>
  <si>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</si>
  <si>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</si>
  <si>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</si>
  <si>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</si>
  <si>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</si>
  <si>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</si>
  <si>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</si>
  <si>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</si>
  <si>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</si>
  <si>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</si>
  <si>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</si>
  <si>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</si>
  <si>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</si>
  <si>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</si>
  <si>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</si>
  <si>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</si>
  <si>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</si>
  <si>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</si>
  <si>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</si>
  <si>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</si>
  <si>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</si>
  <si>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</si>
  <si>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</si>
  <si>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</si>
  <si>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</si>
  <si>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</si>
  <si>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</si>
  <si>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</si>
  <si>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</si>
  <si>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</si>
  <si>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</si>
  <si>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</si>
  <si>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</si>
  <si>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</si>
  <si>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</si>
  <si>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</si>
  <si>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</si>
  <si>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</si>
  <si>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</si>
  <si>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</si>
  <si>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</si>
  <si>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</si>
  <si>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</si>
  <si>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</si>
  <si>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</si>
  <si>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</si>
  <si>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</si>
  <si>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</si>
  <si>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</si>
  <si>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</si>
  <si>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</si>
  <si>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</si>
  <si>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</si>
  <si>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</si>
  <si>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</si>
  <si>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</si>
  <si>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</si>
  <si>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</si>
  <si>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</si>
  <si>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</si>
  <si>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</si>
  <si>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</si>
  <si>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</si>
  <si>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</si>
  <si>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</si>
  <si>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</si>
  <si>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</si>
  <si>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</si>
  <si>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</si>
  <si>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</si>
  <si>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</si>
  <si>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</si>
  <si>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</si>
  <si>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</si>
  <si>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</si>
  <si>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</si>
  <si>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</si>
  <si>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</si>
  <si>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</si>
  <si>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</si>
  <si>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</si>
  <si>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</si>
  <si>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</si>
  <si>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</si>
  <si>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</si>
  <si>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</si>
  <si>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</si>
  <si>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</si>
  <si>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</si>
  <si>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</si>
  <si>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</si>
  <si>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</si>
  <si>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</si>
  <si>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</si>
  <si>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</si>
  <si>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</si>
  <si>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</si>
  <si>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</si>
  <si>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</si>
  <si>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</si>
  <si>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</si>
  <si>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</si>
  <si>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</si>
  <si>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</si>
  <si>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</si>
  <si>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</si>
  <si>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</si>
  <si>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</si>
  <si>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</si>
  <si>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</si>
  <si>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</si>
  <si>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</si>
  <si>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</si>
  <si>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</si>
  <si>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</si>
  <si>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</si>
  <si>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</si>
  <si>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</si>
  <si>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</si>
  <si>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</si>
  <si>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</si>
  <si>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</si>
  <si>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</si>
  <si>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</si>
  <si>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</si>
  <si>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</si>
  <si>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</si>
  <si>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</si>
  <si>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</si>
  <si>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</si>
  <si>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</si>
  <si>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</si>
  <si>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</si>
  <si>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</si>
  <si>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</si>
  <si>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</si>
  <si>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</si>
  <si>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</si>
  <si>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</si>
  <si>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</si>
  <si>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</si>
  <si>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</si>
  <si>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</si>
  <si>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</si>
  <si>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</si>
  <si>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</si>
  <si>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</si>
  <si>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</si>
  <si>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</si>
  <si>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</si>
  <si>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</si>
  <si>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</si>
  <si>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</si>
  <si>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</si>
  <si>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</si>
  <si>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</si>
  <si>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</si>
  <si>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</si>
  <si>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</si>
  <si>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</si>
  <si>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</si>
  <si>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</si>
  <si>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</si>
  <si>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</si>
  <si>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</si>
  <si>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</si>
  <si>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</si>
  <si>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</si>
  <si>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</si>
  <si>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</si>
  <si>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</si>
  <si>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</si>
  <si>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</si>
  <si>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</si>
  <si>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</si>
  <si>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</si>
  <si>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</si>
  <si>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</si>
  <si>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</si>
  <si>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</si>
  <si>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</si>
  <si>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</si>
  <si>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</si>
  <si>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</si>
  <si>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</si>
  <si>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</si>
  <si>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</si>
  <si>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</si>
  <si>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</si>
  <si>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</si>
  <si>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</si>
  <si>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</si>
  <si>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</si>
  <si>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</si>
  <si>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</si>
  <si>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</si>
  <si>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</si>
  <si>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</si>
  <si>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</si>
  <si>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</si>
  <si>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</si>
  <si>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</si>
  <si>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</si>
  <si>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</si>
  <si>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</si>
  <si>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</si>
  <si>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</si>
  <si>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</si>
  <si>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</si>
  <si>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</si>
  <si>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</si>
  <si>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</si>
  <si>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</si>
  <si>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</si>
  <si>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</si>
  <si>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</si>
  <si>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</si>
  <si>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</si>
  <si>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</si>
  <si>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</si>
  <si>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</si>
  <si>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</si>
  <si>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</si>
  <si>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</si>
  <si>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</si>
  <si>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</si>
  <si>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</si>
  <si>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</si>
  <si>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</si>
  <si>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</si>
  <si>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</si>
  <si>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</si>
  <si>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</si>
  <si>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</si>
  <si>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</si>
  <si>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</si>
  <si>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</si>
  <si>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</si>
  <si>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</si>
  <si>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</si>
  <si>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</si>
  <si>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</si>
  <si>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</si>
  <si>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</si>
  <si>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</si>
  <si>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</si>
  <si>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</si>
  <si>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</si>
  <si>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</si>
  <si>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</si>
  <si>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</si>
  <si>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</si>
  <si>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</si>
  <si>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</si>
  <si>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</si>
  <si>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</si>
  <si>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</si>
  <si>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</si>
  <si>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</si>
  <si>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</si>
  <si>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</si>
  <si>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</si>
  <si>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</si>
  <si>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</si>
  <si>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</si>
  <si>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</si>
  <si>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</si>
  <si>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</si>
  <si>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</si>
  <si>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</si>
  <si>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</si>
  <si>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</si>
  <si>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</si>
  <si>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</si>
  <si>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</si>
  <si>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</si>
  <si>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</si>
  <si>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</si>
  <si>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</si>
  <si>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</si>
  <si>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</si>
  <si>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</si>
  <si>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</si>
  <si>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</si>
  <si>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</si>
  <si>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</si>
  <si>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</si>
  <si>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</si>
  <si>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</si>
  <si>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</si>
  <si>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</si>
  <si>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</si>
  <si>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</si>
  <si>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</si>
  <si>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</si>
  <si>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</si>
  <si>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</si>
  <si>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</si>
  <si>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</si>
  <si>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</si>
  <si>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</si>
  <si>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</si>
  <si>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</si>
  <si>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</si>
  <si>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</si>
  <si>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</si>
  <si>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</si>
  <si>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</si>
  <si>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</si>
  <si>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</si>
  <si>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</si>
  <si>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</si>
  <si>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</si>
  <si>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</si>
  <si>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</si>
  <si>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</si>
  <si>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</si>
  <si>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</si>
  <si>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</si>
  <si>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</si>
  <si>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</si>
  <si>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</si>
  <si>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</si>
  <si>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</si>
  <si>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</si>
  <si>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</si>
  <si>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</si>
  <si>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</si>
  <si>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</si>
  <si>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</si>
  <si>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</si>
  <si>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</si>
  <si>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</si>
  <si>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</si>
  <si>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</si>
  <si>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</si>
  <si>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</si>
  <si>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</si>
  <si>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</si>
  <si>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</si>
  <si>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</si>
  <si>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</si>
  <si>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</si>
  <si>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</si>
  <si>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</si>
  <si>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</si>
  <si>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</si>
  <si>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</si>
  <si>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</si>
  <si>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</si>
  <si>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</si>
  <si>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</si>
  <si>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</si>
  <si>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</si>
  <si>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</si>
  <si>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</si>
  <si>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</si>
  <si>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</si>
  <si>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</si>
  <si>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</si>
  <si>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</si>
  <si>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</si>
  <si>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</si>
  <si>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</si>
  <si>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</si>
  <si>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</si>
  <si>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</si>
  <si>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</si>
  <si>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</si>
  <si>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</si>
  <si>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</si>
  <si>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</si>
  <si>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</si>
  <si>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</si>
  <si>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</si>
  <si>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</si>
  <si>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</si>
  <si>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</si>
  <si>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</si>
  <si>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</si>
  <si>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</si>
  <si>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</si>
  <si>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</si>
  <si>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</si>
  <si>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</si>
  <si>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</si>
  <si>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</si>
  <si>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</si>
  <si>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</si>
  <si>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</si>
  <si>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</si>
  <si>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</si>
  <si>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</si>
  <si>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</si>
  <si>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</si>
  <si>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</si>
  <si>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</si>
  <si>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</si>
  <si>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</si>
  <si>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</si>
  <si>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</si>
  <si>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</si>
  <si>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</si>
  <si>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</si>
  <si>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</si>
  <si>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</si>
  <si>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</si>
  <si>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</si>
  <si>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</si>
  <si>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</si>
  <si>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</si>
  <si>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</si>
  <si>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</si>
  <si>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</si>
  <si>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</si>
  <si>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</si>
  <si>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</si>
  <si>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</si>
  <si>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</si>
  <si>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</si>
  <si>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</si>
  <si>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</si>
  <si>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</si>
  <si>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</si>
  <si>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</si>
  <si>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</si>
  <si>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</si>
  <si>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</si>
  <si>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</si>
  <si>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</si>
  <si>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</si>
  <si>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</si>
  <si>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</si>
  <si>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</si>
  <si>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</si>
  <si>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</si>
  <si>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</si>
  <si>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</si>
  <si>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</si>
  <si>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</si>
  <si>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</si>
  <si>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</si>
  <si>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</si>
  <si>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</si>
  <si>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</si>
  <si>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</si>
  <si>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</si>
  <si>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</si>
  <si>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</si>
  <si>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</si>
  <si>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</si>
  <si>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</si>
  <si>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</si>
  <si>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</si>
  <si>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</si>
  <si>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</si>
  <si>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</si>
  <si>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</si>
  <si>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</si>
  <si>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</si>
  <si>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</si>
  <si>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</si>
  <si>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</si>
  <si>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</si>
  <si>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</si>
  <si>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</si>
  <si>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</si>
  <si>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</si>
  <si>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</si>
  <si>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</si>
  <si>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</si>
  <si>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</si>
  <si>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</si>
  <si>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</si>
  <si>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</si>
  <si>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</si>
  <si>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</si>
  <si>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</si>
  <si>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</si>
  <si>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</si>
  <si>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</si>
  <si>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</si>
  <si>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</si>
  <si>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</si>
  <si>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</si>
  <si>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</si>
  <si>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</si>
  <si>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</si>
  <si>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</si>
  <si>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</si>
  <si>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</si>
  <si>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</si>
  <si>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</si>
  <si>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</si>
  <si>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</si>
  <si>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</si>
  <si>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</si>
  <si>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</si>
  <si>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</si>
  <si>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</si>
  <si>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</si>
  <si>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</si>
  <si>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</si>
  <si>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</si>
  <si>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</si>
  <si>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</si>
  <si>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</si>
  <si>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</si>
  <si>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</si>
  <si>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</si>
  <si>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</si>
  <si>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</si>
  <si>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</si>
  <si>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</si>
  <si>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</si>
  <si>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</si>
  <si>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</si>
  <si>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</si>
  <si>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</si>
  <si>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</si>
  <si>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</si>
  <si>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</si>
  <si>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</si>
  <si>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</si>
  <si>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</si>
  <si>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</si>
  <si>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</si>
  <si>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</si>
  <si>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</si>
  <si>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</si>
  <si>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</si>
  <si>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</si>
  <si>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</si>
  <si>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</si>
  <si>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</si>
  <si>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</si>
  <si>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</si>
  <si>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</si>
  <si>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</si>
  <si>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</si>
  <si>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</si>
  <si>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</si>
  <si>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</si>
  <si>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</si>
  <si>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</si>
  <si>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</si>
  <si>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</si>
  <si>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</si>
  <si>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</si>
  <si>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</si>
  <si>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</si>
  <si>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</si>
  <si>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</si>
  <si>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</si>
  <si>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</si>
  <si>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</si>
  <si>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</si>
  <si>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</si>
  <si>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</si>
  <si>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</si>
  <si>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</si>
  <si>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</si>
  <si>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</si>
  <si>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</si>
  <si>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</si>
  <si>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</si>
  <si>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</si>
  <si>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</si>
  <si>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</si>
  <si>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</si>
  <si>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</si>
  <si>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</si>
  <si>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</si>
  <si>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</si>
  <si>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</si>
  <si>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</si>
  <si>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</si>
  <si>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</si>
  <si>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</si>
  <si>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</si>
  <si>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</si>
  <si>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</si>
  <si>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</si>
  <si>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</si>
  <si>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</si>
  <si>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</si>
  <si>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</si>
  <si>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</si>
  <si>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</si>
  <si>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</si>
  <si>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</si>
  <si>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</si>
  <si>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</si>
  <si>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</si>
  <si>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</si>
  <si>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</si>
  <si>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</si>
  <si>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</si>
  <si>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</si>
  <si>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</si>
  <si>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</si>
  <si>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</si>
  <si>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</si>
  <si>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</si>
  <si>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</si>
  <si>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</si>
  <si>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</si>
  <si>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</si>
  <si>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</si>
  <si>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</si>
  <si>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</si>
  <si>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</si>
  <si>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</si>
  <si>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</si>
  <si>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</si>
  <si>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</si>
  <si>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</si>
  <si>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</si>
  <si>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</si>
  <si>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</si>
  <si>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</si>
  <si>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</si>
  <si>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</si>
  <si>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</si>
  <si>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</si>
  <si>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</si>
  <si>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</si>
  <si>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</si>
  <si>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</si>
  <si>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</si>
  <si>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</si>
  <si>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</si>
  <si>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</si>
  <si>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</si>
  <si>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</si>
  <si>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</si>
  <si>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</si>
  <si>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</si>
  <si>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</si>
  <si>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</si>
  <si>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</si>
  <si>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</si>
  <si>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</si>
  <si>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</si>
  <si>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</si>
  <si>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</si>
  <si>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</si>
  <si>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</si>
  <si>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</si>
  <si>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</si>
  <si>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</si>
  <si>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</si>
  <si>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</si>
  <si>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</si>
  <si>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</si>
  <si>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</si>
  <si>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</si>
  <si>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</si>
  <si>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</si>
  <si>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</si>
  <si>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</si>
  <si>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</si>
  <si>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</si>
  <si>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</si>
  <si>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</si>
  <si>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</si>
  <si>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</si>
  <si>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</si>
  <si>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</si>
  <si>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</si>
  <si>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</si>
  <si>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</si>
  <si>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</si>
  <si>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</si>
  <si>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</si>
  <si>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</si>
  <si>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</si>
  <si>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</si>
  <si>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</si>
  <si>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</si>
  <si>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</si>
  <si>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</si>
  <si>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</si>
  <si>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</si>
  <si>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</si>
  <si>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</si>
  <si>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</si>
  <si>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</si>
  <si>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</si>
  <si>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</si>
  <si>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</si>
  <si>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</si>
  <si>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</si>
  <si>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</si>
  <si>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</si>
  <si>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</si>
  <si>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</si>
  <si>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</si>
  <si>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</si>
  <si>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</si>
  <si>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</si>
  <si>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</si>
  <si>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</si>
  <si>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</si>
  <si>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</si>
  <si>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</si>
  <si>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</si>
  <si>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</si>
  <si>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</si>
  <si>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</si>
  <si>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</si>
  <si>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</si>
  <si>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</si>
  <si>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</si>
  <si>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</si>
  <si>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</si>
  <si>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</si>
  <si>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</si>
  <si>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</si>
  <si>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</si>
  <si>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</si>
  <si>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</si>
  <si>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</si>
  <si>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</si>
  <si>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</si>
  <si>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</si>
  <si>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</si>
  <si>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</si>
  <si>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</si>
  <si>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</si>
  <si>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</si>
  <si>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</si>
  <si>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</si>
  <si>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</si>
  <si>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</si>
  <si>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</si>
  <si>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</si>
  <si>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</si>
  <si>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</si>
  <si>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</si>
  <si>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</si>
  <si>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</si>
  <si>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</si>
  <si>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</si>
  <si>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</si>
  <si>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</si>
  <si>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</si>
  <si>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</si>
  <si>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</si>
  <si>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</si>
  <si>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</si>
  <si>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</si>
  <si>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</si>
  <si>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</si>
  <si>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</si>
  <si>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</si>
  <si>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</si>
  <si>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</si>
  <si>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</si>
  <si>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</si>
  <si>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</si>
  <si>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</si>
  <si>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</si>
  <si>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</si>
  <si>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</si>
  <si>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</si>
  <si>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</si>
  <si>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</si>
  <si>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</si>
  <si>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</si>
  <si>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</si>
  <si>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</si>
  <si>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</si>
  <si>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</si>
  <si>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</si>
  <si>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</si>
  <si>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</si>
  <si>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</si>
  <si>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</si>
  <si>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</si>
  <si>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</si>
  <si>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</si>
  <si>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</si>
  <si>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</si>
  <si>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</si>
  <si>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</si>
  <si>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</si>
  <si>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</si>
  <si>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</si>
  <si>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</si>
  <si>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</si>
  <si>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</si>
  <si>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</si>
  <si>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</si>
  <si>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</si>
  <si>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</si>
  <si>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</si>
  <si>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</si>
  <si>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</si>
  <si>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</si>
  <si>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</si>
  <si>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</si>
  <si>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</si>
  <si>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</si>
  <si>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</si>
  <si>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</si>
  <si>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</si>
  <si>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</si>
  <si>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</si>
  <si>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</si>
  <si>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</si>
  <si>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</si>
  <si>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</si>
  <si>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</si>
  <si>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</si>
  <si>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</si>
  <si>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</si>
  <si>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</si>
  <si>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</si>
  <si>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</si>
  <si>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</si>
  <si>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</si>
  <si>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</si>
  <si>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</si>
  <si>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</si>
  <si>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</si>
  <si>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</si>
  <si>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</si>
  <si>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</si>
  <si>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</si>
  <si>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</si>
  <si>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</si>
  <si>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</si>
  <si>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</si>
  <si>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</si>
  <si>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</si>
  <si>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</si>
  <si>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</si>
  <si>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</si>
  <si>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</si>
  <si>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</si>
  <si>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</si>
  <si>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</si>
  <si>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</si>
  <si>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</si>
  <si>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</si>
  <si>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</si>
  <si>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</si>
  <si>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</si>
  <si>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</si>
  <si>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</si>
  <si>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</si>
  <si>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</si>
  <si>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</si>
  <si>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</si>
  <si>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</si>
  <si>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</si>
  <si>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</si>
  <si>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</si>
  <si>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</si>
  <si>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</si>
  <si>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</si>
  <si>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</si>
  <si>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</si>
  <si>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</si>
  <si>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</si>
  <si>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</si>
  <si>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</si>
  <si>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</si>
  <si>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</si>
  <si>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</si>
  <si>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</si>
  <si>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</si>
  <si>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</si>
  <si>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</si>
  <si>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</si>
  <si>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</si>
  <si>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</si>
  <si>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</si>
  <si>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</si>
  <si>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</si>
  <si>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</si>
  <si>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</si>
  <si>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</si>
  <si>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</si>
  <si>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</si>
  <si>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</si>
  <si>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</si>
  <si>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</si>
  <si>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</si>
  <si>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</si>
  <si>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</si>
  <si>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</si>
  <si>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</si>
  <si>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</si>
  <si>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</si>
  <si>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</si>
  <si>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</si>
  <si>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</si>
  <si>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</si>
  <si>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</si>
  <si>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</si>
  <si>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</si>
  <si>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</si>
  <si>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</si>
  <si>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</si>
  <si>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</si>
  <si>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</si>
  <si>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</si>
  <si>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</si>
  <si>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</si>
  <si>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</si>
  <si>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</si>
  <si>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</si>
  <si>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</si>
  <si>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</si>
  <si>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</si>
  <si>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</si>
  <si>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</si>
  <si>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</si>
  <si>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</si>
  <si>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</si>
  <si>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</si>
  <si>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</si>
  <si>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</si>
  <si>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</si>
  <si>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</si>
  <si>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</si>
  <si>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</si>
  <si>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</si>
  <si>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</si>
  <si>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</si>
  <si>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</si>
  <si>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</si>
  <si>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</si>
  <si>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</si>
  <si>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</si>
  <si>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</si>
  <si>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</si>
  <si>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</si>
  <si>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</si>
  <si>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</si>
  <si>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</si>
  <si>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</si>
  <si>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</si>
  <si>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</si>
  <si>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</si>
  <si>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</si>
  <si>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</si>
  <si>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</si>
  <si>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</si>
  <si>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</si>
  <si>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</si>
  <si>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</si>
  <si>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</si>
  <si>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</si>
  <si>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</si>
  <si>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</si>
  <si>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</si>
  <si>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</si>
  <si>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</si>
  <si>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</si>
  <si>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</si>
  <si>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</si>
  <si>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</si>
  <si>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</si>
  <si>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</si>
  <si>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</si>
  <si>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</si>
  <si>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</si>
  <si>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</si>
  <si>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</si>
  <si>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</si>
  <si>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</si>
  <si>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</si>
  <si>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</si>
  <si>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</si>
  <si>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</si>
  <si>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</si>
  <si>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</si>
  <si>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</si>
  <si>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</si>
  <si>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</si>
  <si>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</si>
  <si>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</si>
  <si>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</si>
  <si>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</si>
  <si>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</si>
  <si>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</si>
  <si>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</si>
  <si>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</si>
  <si>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</si>
  <si>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</si>
  <si>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</si>
  <si>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</si>
  <si>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</si>
  <si>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</si>
  <si>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</si>
  <si>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</si>
  <si>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</si>
  <si>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</si>
  <si>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</si>
  <si>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</si>
  <si>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</si>
  <si>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</si>
  <si>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</si>
  <si>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</si>
  <si>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</si>
  <si>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</si>
  <si>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</si>
  <si>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</si>
  <si>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</si>
  <si>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</si>
  <si>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</si>
  <si>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</si>
  <si>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</si>
  <si>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</si>
  <si>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</si>
  <si>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</si>
  <si>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</si>
  <si>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</si>
  <si>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</si>
  <si>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</si>
  <si>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</si>
  <si>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</si>
  <si>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</si>
  <si>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</si>
  <si>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</si>
  <si>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</si>
  <si>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</si>
  <si>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</si>
  <si>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</si>
  <si>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</si>
  <si>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</si>
  <si>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</si>
  <si>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</si>
  <si>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</si>
  <si>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</si>
  <si>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</si>
  <si>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</si>
  <si>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</si>
  <si>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</si>
  <si>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</si>
  <si>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</si>
  <si>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</si>
  <si>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</si>
  <si>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</si>
  <si>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</si>
  <si>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</si>
  <si>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</si>
  <si>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</si>
  <si>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</si>
  <si>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</si>
  <si>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</si>
  <si>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</si>
  <si>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</si>
  <si>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</si>
  <si>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</si>
  <si>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</si>
  <si>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</si>
  <si>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</si>
  <si>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</si>
  <si>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</si>
  <si>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</si>
  <si>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</si>
  <si>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</si>
  <si>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</si>
  <si>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</si>
  <si>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</si>
  <si>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</si>
  <si>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</si>
  <si>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</si>
  <si>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</si>
  <si>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</si>
  <si>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</si>
  <si>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</si>
  <si>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</si>
  <si>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</si>
  <si>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</si>
  <si>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</si>
  <si>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</si>
  <si>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</si>
  <si>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</si>
  <si>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</si>
  <si>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</si>
  <si>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</si>
  <si>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</si>
  <si>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</si>
  <si>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</si>
  <si>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</si>
  <si>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</si>
  <si>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</si>
  <si>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</si>
  <si>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</si>
  <si>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</si>
  <si>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</si>
  <si>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</si>
  <si>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</si>
  <si>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</si>
  <si>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</si>
  <si>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</si>
  <si>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</si>
  <si>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</si>
  <si>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</si>
  <si>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</si>
  <si>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</si>
  <si>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</si>
  <si>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</si>
  <si>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</si>
  <si>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</si>
  <si>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</si>
  <si>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</si>
  <si>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</si>
  <si>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</si>
  <si>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</si>
  <si>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</si>
  <si>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</si>
  <si>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</si>
  <si>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</si>
  <si>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</si>
  <si>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</si>
  <si>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</si>
  <si>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</si>
  <si>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</si>
  <si>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</si>
  <si>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</si>
  <si>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</si>
  <si>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</si>
  <si>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</si>
  <si>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</si>
  <si>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</si>
  <si>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</si>
  <si>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</si>
  <si>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</si>
  <si>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</si>
  <si>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</si>
  <si>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</si>
  <si>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</si>
  <si>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</si>
  <si>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</si>
  <si>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</si>
  <si>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</si>
  <si>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</si>
  <si>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</si>
  <si>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</si>
  <si>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</si>
  <si>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</si>
  <si>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</si>
  <si>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</si>
  <si>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</si>
  <si>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</si>
  <si>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</si>
  <si>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</si>
  <si>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</si>
  <si>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</si>
  <si>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</si>
  <si>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</si>
  <si>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</si>
  <si>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</si>
  <si>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</si>
  <si>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</si>
  <si>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</si>
  <si>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</si>
  <si>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</si>
  <si>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</si>
  <si>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</si>
  <si>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</si>
  <si>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</si>
  <si>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</si>
  <si>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</si>
  <si>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</si>
  <si>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</si>
  <si>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</si>
  <si>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</si>
  <si>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</si>
  <si>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</si>
  <si>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</si>
  <si>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</si>
  <si>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</si>
  <si>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</si>
  <si>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</si>
  <si>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</si>
  <si>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</si>
  <si>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</si>
  <si>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</si>
  <si>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</si>
  <si>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</si>
  <si>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</si>
  <si>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</si>
  <si>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</si>
  <si>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</si>
  <si>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</si>
  <si>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</si>
  <si>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</si>
  <si>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</si>
  <si>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</si>
  <si>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</si>
  <si>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</si>
  <si>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</si>
  <si>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</si>
  <si>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</si>
  <si>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</si>
  <si>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</si>
  <si>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</si>
  <si>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</si>
  <si>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</si>
  <si>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</si>
  <si>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</si>
  <si>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</si>
  <si>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</si>
  <si>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</si>
  <si>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</si>
  <si>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</si>
  <si>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</si>
  <si>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</si>
  <si>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</si>
  <si>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</si>
  <si>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</si>
  <si>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</si>
  <si>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</si>
  <si>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</si>
  <si>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</si>
  <si>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</si>
  <si>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</si>
  <si>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</si>
  <si>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</si>
  <si>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</si>
  <si>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</si>
  <si>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</si>
  <si>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</si>
  <si>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</si>
  <si>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</si>
  <si>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</si>
  <si>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</si>
  <si>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</si>
  <si>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</si>
  <si>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</si>
  <si>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</si>
  <si>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</si>
  <si>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</si>
  <si>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</si>
  <si>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</si>
  <si>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</si>
  <si>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</si>
  <si>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</si>
  <si>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</si>
  <si>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</si>
  <si>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</si>
  <si>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</si>
  <si>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</si>
  <si>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</si>
  <si>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</si>
  <si>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</si>
  <si>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</si>
  <si>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</si>
  <si>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</si>
  <si>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</si>
  <si>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</si>
  <si>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</si>
  <si>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</si>
  <si>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</si>
  <si>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</si>
  <si>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</si>
  <si>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</si>
  <si>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</si>
  <si>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</si>
  <si>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</si>
  <si>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</si>
  <si>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</si>
  <si>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</si>
  <si>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</si>
  <si>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</si>
  <si>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</si>
  <si>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</si>
  <si>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</si>
  <si>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</si>
  <si>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</si>
  <si>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</si>
  <si>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</si>
  <si>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</si>
  <si>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</si>
  <si>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</si>
  <si>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</si>
  <si>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</si>
  <si>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</si>
  <si>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</si>
  <si>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</si>
  <si>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</si>
  <si>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</si>
  <si>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</si>
  <si>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</si>
  <si>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</si>
  <si>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</si>
  <si>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</si>
  <si>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</si>
  <si>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</si>
  <si>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</si>
  <si>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</si>
  <si>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</si>
  <si>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</si>
  <si>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</si>
  <si>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</si>
  <si>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</si>
  <si>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</si>
  <si>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</si>
  <si>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</si>
  <si>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</si>
  <si>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</si>
  <si>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</si>
  <si>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</si>
  <si>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</si>
  <si>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</si>
  <si>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</si>
  <si>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</si>
  <si>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</si>
  <si>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</si>
  <si>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</si>
  <si>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</si>
  <si>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</si>
  <si>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</si>
  <si>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</si>
  <si>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</si>
  <si>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</si>
  <si>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</si>
  <si>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</si>
  <si>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</si>
  <si>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</si>
  <si>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</si>
  <si>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</si>
  <si>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</si>
  <si>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</si>
  <si>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</si>
  <si>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</si>
  <si>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</si>
  <si>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</si>
  <si>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</si>
  <si>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</si>
  <si>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</si>
  <si>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</si>
  <si>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</si>
  <si>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</si>
  <si>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</si>
  <si>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</si>
  <si>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</si>
  <si>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</si>
  <si>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</si>
  <si>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</si>
  <si>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</si>
  <si>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</si>
  <si>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</si>
  <si>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</si>
  <si>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</si>
  <si>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</si>
  <si>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</si>
  <si>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</si>
  <si>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</si>
  <si>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</si>
  <si>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</si>
  <si>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</si>
  <si>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</si>
  <si>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</si>
  <si>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</si>
  <si>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</si>
  <si>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</si>
  <si>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</si>
  <si>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</si>
  <si>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</si>
  <si>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</si>
  <si>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</si>
  <si>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</si>
  <si>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</si>
  <si>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</si>
  <si>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</si>
  <si>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</si>
  <si>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</si>
  <si>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</si>
  <si>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</si>
  <si>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</si>
  <si>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</si>
  <si>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</si>
  <si>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</si>
  <si>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</si>
  <si>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</si>
  <si>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</si>
  <si>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</si>
  <si>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</si>
  <si>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</si>
  <si>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</si>
  <si>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</si>
  <si>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</si>
  <si>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</si>
  <si>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</si>
  <si>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</si>
  <si>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</si>
  <si>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</si>
  <si>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</si>
  <si>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</si>
  <si>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</si>
  <si>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</si>
  <si>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</si>
  <si>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</si>
  <si>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</si>
  <si>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</si>
  <si>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</si>
  <si>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</si>
  <si>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</si>
  <si>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</si>
  <si>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</si>
  <si>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</si>
  <si>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</si>
  <si>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</si>
  <si>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</si>
  <si>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</si>
  <si>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</si>
  <si>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</si>
  <si>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</si>
  <si>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</si>
  <si>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</si>
  <si>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</si>
  <si>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</si>
  <si>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</si>
  <si>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</si>
  <si>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</si>
  <si>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</si>
  <si>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</si>
  <si>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</si>
  <si>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</si>
  <si>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</si>
  <si>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</si>
  <si>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</si>
  <si>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</si>
  <si>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</si>
  <si>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</si>
  <si>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</si>
  <si>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</si>
  <si>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</si>
  <si>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</si>
  <si>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</si>
  <si>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</si>
  <si>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</si>
  <si>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</si>
  <si>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</si>
  <si>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</si>
  <si>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</si>
  <si>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</si>
  <si>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</si>
  <si>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</si>
  <si>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</si>
  <si>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</si>
  <si>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</si>
  <si>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</si>
  <si>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</si>
  <si>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</si>
  <si>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</si>
  <si>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</si>
  <si>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</si>
  <si>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</si>
  <si>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</si>
  <si>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</si>
  <si>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</si>
  <si>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</si>
  <si>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</si>
  <si>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</si>
  <si>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</si>
  <si>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</si>
  <si>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</si>
  <si>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</si>
  <si>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</si>
  <si>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</si>
  <si>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</si>
  <si>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</si>
  <si>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</si>
  <si>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</si>
  <si>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</si>
  <si>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</si>
  <si>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</si>
  <si>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</si>
  <si>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</si>
  <si>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</si>
  <si>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</si>
  <si>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</si>
  <si>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</si>
  <si>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</si>
  <si>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</si>
  <si>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</si>
  <si>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</si>
  <si>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</si>
  <si>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</si>
  <si>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</si>
  <si>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</si>
  <si>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</si>
  <si>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</si>
  <si>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</si>
  <si>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</si>
  <si>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</si>
  <si>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</si>
  <si>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</si>
  <si>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</si>
  <si>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</si>
  <si>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</si>
  <si>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</si>
  <si>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</si>
  <si>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</si>
  <si>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</si>
  <si>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</si>
  <si>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</si>
  <si>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</si>
  <si>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</si>
  <si>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</si>
  <si>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</si>
  <si>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</si>
  <si>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</si>
  <si>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</si>
  <si>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</si>
  <si>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</si>
  <si>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</si>
  <si>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</si>
  <si>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</si>
  <si>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</si>
  <si>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</si>
  <si>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</si>
  <si>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</si>
  <si>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</si>
  <si>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</si>
  <si>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</si>
  <si>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</si>
  <si>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</si>
  <si>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</si>
  <si>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</si>
  <si>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</si>
  <si>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</si>
  <si>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</si>
  <si>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</si>
  <si>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</si>
  <si>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</si>
  <si>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</si>
  <si>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</si>
  <si>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</si>
  <si>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</si>
  <si>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</si>
  <si>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</si>
  <si>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</si>
  <si>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</si>
  <si>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</si>
  <si>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</si>
  <si>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</si>
  <si>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</si>
  <si>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</si>
  <si>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</si>
  <si>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</si>
  <si>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</si>
  <si>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</si>
  <si>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</si>
  <si>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</si>
  <si>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</si>
  <si>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</si>
  <si>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</si>
  <si>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</si>
  <si>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</si>
  <si>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</si>
  <si>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</si>
  <si>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</si>
  <si>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</si>
  <si>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</si>
  <si>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</si>
  <si>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</si>
  <si>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</si>
  <si>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</si>
  <si>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</si>
  <si>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</si>
  <si>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</si>
  <si>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</si>
  <si>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</si>
  <si>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</si>
  <si>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</si>
  <si>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</si>
  <si>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</si>
  <si>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</si>
  <si>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</si>
  <si>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</si>
  <si>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</si>
  <si>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</si>
  <si>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</si>
  <si>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</si>
  <si>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</si>
  <si>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</si>
  <si>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</si>
  <si>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</si>
  <si>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</si>
  <si>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</si>
  <si>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</si>
  <si>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</si>
  <si>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</si>
  <si>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</si>
  <si>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</si>
  <si>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</si>
  <si>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</si>
  <si>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</si>
  <si>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</si>
  <si>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</si>
  <si>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</si>
  <si>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</si>
  <si>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</si>
  <si>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</si>
  <si>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</si>
  <si>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</si>
  <si>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</si>
  <si>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</si>
  <si>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</si>
  <si>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</si>
  <si>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</si>
  <si>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</si>
  <si>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</si>
  <si>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</si>
  <si>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</si>
  <si>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</si>
  <si>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</si>
  <si>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</si>
  <si>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</si>
  <si>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</si>
  <si>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</si>
  <si>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</si>
  <si>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</si>
  <si>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</si>
  <si>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</si>
  <si>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</si>
  <si>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</si>
  <si>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</si>
  <si>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</si>
  <si>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</si>
  <si>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</si>
  <si>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</si>
  <si>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</si>
  <si>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</si>
  <si>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</si>
  <si>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</si>
  <si>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</si>
  <si>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</si>
  <si>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</si>
  <si>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</si>
  <si>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</si>
  <si>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</si>
  <si>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</si>
  <si>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</si>
  <si>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</si>
  <si>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</si>
  <si>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</si>
  <si>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</si>
  <si>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</si>
  <si>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</si>
  <si>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</si>
  <si>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</si>
  <si>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</si>
  <si>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</si>
  <si>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</si>
  <si>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</si>
  <si>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</si>
  <si>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</si>
  <si>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</si>
  <si>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</si>
  <si>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</si>
  <si>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</si>
  <si>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</si>
  <si>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</si>
  <si>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</si>
  <si>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</si>
  <si>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</si>
  <si>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</si>
  <si>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</si>
  <si>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</si>
  <si>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</si>
  <si>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</si>
  <si>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</si>
  <si>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</si>
  <si>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</si>
  <si>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</si>
  <si>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</si>
  <si>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</si>
  <si>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</si>
  <si>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</si>
  <si>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</si>
  <si>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</si>
  <si>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</si>
  <si>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</si>
  <si>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</si>
  <si>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</si>
  <si>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</si>
  <si>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</si>
  <si>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</si>
  <si>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</si>
  <si>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</si>
  <si>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</si>
  <si>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</si>
  <si>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</si>
  <si>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</si>
  <si>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</si>
  <si>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</si>
  <si>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</si>
  <si>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</si>
  <si>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</si>
  <si>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</si>
  <si>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</si>
  <si>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</si>
  <si>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</si>
  <si>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</si>
  <si>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</si>
  <si>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</si>
  <si>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</si>
  <si>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</si>
  <si>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</si>
  <si>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</si>
  <si>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</si>
  <si>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</si>
  <si>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</si>
  <si>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</si>
  <si>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</si>
  <si>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</si>
  <si>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</si>
  <si>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</si>
  <si>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</si>
  <si>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</si>
  <si>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</si>
  <si>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</si>
  <si>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</si>
  <si>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</si>
  <si>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</si>
  <si>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</si>
  <si>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</si>
  <si>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</si>
  <si>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</si>
  <si>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</si>
  <si>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</si>
  <si>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</si>
  <si>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</si>
  <si>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</si>
  <si>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</si>
  <si>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</si>
  <si>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</si>
  <si>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</si>
  <si>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</si>
  <si>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</si>
  <si>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</si>
  <si>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</si>
  <si>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</si>
  <si>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</si>
  <si>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</si>
  <si>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</si>
  <si>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</si>
  <si>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</si>
  <si>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</si>
  <si>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</si>
  <si>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</si>
  <si>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</si>
  <si>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</si>
  <si>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</si>
  <si>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</si>
  <si>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</si>
  <si>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</si>
  <si>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</si>
  <si>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</si>
  <si>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</si>
  <si>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</si>
  <si>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</si>
  <si>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</si>
  <si>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</si>
  <si>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</si>
  <si>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</si>
  <si>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</si>
  <si>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</si>
  <si>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</si>
  <si>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</si>
  <si>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</si>
  <si>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</si>
  <si>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</si>
  <si>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</si>
  <si>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</si>
  <si>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</si>
  <si>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</si>
  <si>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</si>
  <si>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</si>
  <si>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</si>
  <si>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</si>
  <si>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</si>
  <si>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</si>
  <si>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</si>
  <si>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</si>
  <si>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</si>
  <si>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</si>
  <si>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</si>
  <si>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</si>
  <si>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</si>
  <si>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</si>
  <si>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</si>
  <si>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</si>
  <si>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</si>
  <si>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</si>
  <si>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</si>
  <si>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</si>
  <si>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</si>
  <si>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</si>
  <si>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</si>
  <si>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</si>
  <si>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</si>
  <si>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</si>
  <si>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</si>
  <si>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</si>
  <si>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</si>
  <si>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</si>
  <si>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</si>
  <si>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</si>
  <si>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</si>
  <si>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</si>
  <si>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</si>
  <si>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</si>
  <si>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</si>
  <si>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</si>
  <si>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</si>
  <si>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</si>
  <si>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</si>
  <si>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</si>
  <si>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</si>
  <si>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</si>
  <si>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</si>
  <si>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</si>
  <si>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</si>
  <si>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</si>
  <si>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</si>
  <si>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</si>
  <si>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</si>
  <si>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</si>
  <si>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</si>
  <si>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</si>
  <si>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</si>
  <si>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</si>
  <si>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</si>
  <si>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</si>
  <si>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</si>
  <si>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</si>
  <si>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</si>
  <si>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</si>
  <si>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</si>
  <si>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</si>
  <si>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</si>
  <si>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</si>
  <si>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</si>
  <si>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</si>
  <si>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</si>
  <si>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</si>
  <si>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</si>
  <si>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</si>
  <si>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</si>
  <si>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</si>
  <si>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</si>
  <si>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</si>
  <si>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</si>
  <si>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</si>
  <si>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</si>
  <si>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</si>
  <si>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</si>
  <si>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</si>
  <si>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</si>
  <si>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</si>
  <si>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</si>
  <si>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</si>
  <si>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</si>
  <si>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</si>
  <si>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</si>
  <si>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</si>
  <si>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</si>
  <si>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</si>
  <si>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</si>
  <si>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</si>
  <si>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</si>
  <si>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</si>
  <si>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</si>
  <si>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</si>
  <si>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</si>
  <si>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</si>
  <si>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</si>
  <si>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</si>
  <si>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</si>
  <si>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</si>
  <si>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</si>
  <si>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</si>
  <si>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</si>
  <si>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</si>
  <si>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</si>
  <si>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</si>
  <si>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</si>
  <si>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</si>
  <si>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</si>
  <si>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</si>
  <si>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</si>
  <si>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</si>
  <si>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</si>
  <si>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</si>
  <si>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</si>
  <si>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</si>
  <si>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</si>
  <si>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</si>
  <si>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</si>
  <si>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</si>
  <si>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</si>
  <si>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</si>
  <si>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</si>
  <si>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</si>
  <si>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</si>
  <si>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</si>
  <si>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</si>
  <si>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</si>
  <si>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</si>
  <si>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</si>
  <si>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</si>
  <si>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</si>
  <si>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</si>
  <si>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</si>
  <si>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</si>
  <si>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</si>
  <si>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</si>
  <si>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</si>
  <si>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</si>
  <si>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</si>
  <si>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</si>
  <si>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</si>
  <si>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</si>
  <si>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</si>
  <si>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</si>
  <si>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</si>
  <si>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</si>
  <si>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</si>
  <si>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</si>
  <si>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</si>
  <si>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</si>
  <si>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</si>
  <si>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</si>
  <si>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</si>
  <si>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</si>
  <si>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</si>
  <si>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</si>
  <si>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</si>
  <si>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</si>
  <si>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</si>
  <si>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</si>
  <si>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</si>
  <si>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</si>
  <si>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</si>
  <si>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</si>
  <si>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</si>
  <si>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</si>
  <si>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</si>
  <si>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</si>
  <si>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</si>
  <si>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</si>
  <si>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</si>
  <si>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</si>
  <si>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</si>
  <si>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</si>
  <si>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</si>
  <si>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</si>
  <si>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</si>
  <si>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</si>
  <si>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</si>
  <si>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</si>
  <si>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</si>
  <si>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</si>
  <si>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</si>
  <si>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</si>
  <si>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</si>
  <si>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</si>
  <si>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</si>
  <si>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</si>
  <si>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</si>
  <si>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</si>
  <si>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</si>
  <si>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</si>
  <si>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</si>
  <si>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</si>
  <si>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</si>
  <si>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</si>
  <si>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</si>
  <si>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</si>
  <si>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</si>
  <si>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</si>
  <si>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</si>
  <si>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</si>
  <si>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</si>
  <si>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</si>
  <si>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</si>
  <si>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</si>
  <si>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</si>
  <si>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</si>
  <si>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</si>
  <si>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</si>
  <si>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</si>
  <si>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</si>
  <si>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</si>
  <si>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</si>
  <si>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</si>
  <si>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</si>
  <si>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</si>
  <si>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</si>
  <si>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</si>
  <si>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</si>
  <si>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</si>
  <si>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</si>
  <si>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</si>
  <si>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</si>
  <si>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</si>
  <si>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</si>
  <si>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</si>
  <si>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</si>
  <si>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</si>
  <si>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</si>
  <si>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</si>
  <si>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</si>
  <si>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</si>
  <si>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</si>
  <si>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</si>
  <si>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</si>
  <si>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</si>
  <si>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</si>
  <si>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</si>
  <si>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</si>
  <si>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</si>
  <si>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</si>
  <si>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</si>
  <si>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</si>
  <si>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</si>
  <si>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</si>
  <si>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</si>
  <si>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</si>
  <si>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</si>
  <si>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</si>
  <si>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</si>
  <si>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</si>
  <si>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</si>
  <si>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</si>
  <si>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</si>
  <si>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</si>
  <si>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</si>
  <si>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</si>
  <si>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</si>
  <si>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</si>
  <si>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</si>
  <si>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</si>
  <si>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</si>
  <si>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</si>
  <si>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</si>
  <si>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</si>
  <si>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</si>
  <si>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</si>
  <si>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</si>
  <si>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</si>
  <si>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</si>
  <si>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</si>
  <si>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</si>
  <si>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</si>
  <si>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</si>
  <si>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</si>
  <si>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</si>
  <si>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</si>
  <si>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</si>
  <si>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</si>
  <si>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</si>
  <si>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</si>
  <si>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</si>
  <si>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</si>
  <si>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</si>
  <si>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</si>
  <si>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</si>
  <si>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</si>
  <si>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</si>
  <si>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</si>
  <si>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</si>
  <si>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</si>
  <si>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</si>
  <si>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</si>
  <si>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</si>
  <si>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</si>
  <si>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</si>
  <si>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</si>
  <si>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</si>
  <si>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</si>
  <si>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</si>
  <si>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</si>
  <si>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</si>
  <si>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</si>
  <si>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</si>
  <si>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</si>
  <si>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</si>
  <si>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</si>
  <si>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</si>
  <si>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</si>
  <si>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</si>
  <si>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</si>
  <si>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</si>
  <si>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</si>
  <si>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</si>
  <si>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</si>
  <si>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</si>
  <si>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</si>
  <si>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</si>
  <si>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</si>
  <si>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</si>
  <si>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</si>
  <si>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</si>
  <si>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</si>
  <si>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</si>
  <si>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</si>
  <si>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</si>
  <si>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</si>
  <si>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</si>
  <si>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</si>
  <si>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</si>
  <si>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</si>
  <si>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</si>
  <si>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</si>
  <si>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</si>
  <si>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</si>
  <si>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</si>
  <si>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</si>
  <si>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</si>
  <si>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</si>
  <si>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</si>
  <si>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</si>
  <si>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</si>
  <si>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</si>
  <si>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</si>
  <si>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</si>
  <si>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</si>
  <si>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</si>
  <si>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</si>
  <si>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</si>
  <si>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</si>
  <si>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</si>
  <si>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</si>
  <si>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</si>
  <si>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</si>
  <si>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</si>
  <si>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</si>
  <si>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</si>
  <si>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</si>
  <si>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</si>
  <si>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</si>
  <si>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</si>
  <si>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</si>
  <si>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</si>
  <si>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</si>
  <si>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</si>
  <si>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</si>
  <si>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</si>
  <si>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</si>
  <si>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</si>
  <si>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</si>
  <si>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</si>
  <si>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</si>
  <si>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</si>
  <si>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</si>
  <si>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</si>
  <si>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</si>
  <si>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</si>
  <si>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</si>
  <si>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</si>
  <si>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</si>
  <si>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</si>
  <si>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</si>
  <si>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</si>
  <si>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</si>
  <si>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</si>
  <si>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</si>
  <si>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</si>
  <si>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</si>
  <si>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</si>
  <si>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</si>
  <si>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</si>
  <si>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</si>
  <si>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</si>
  <si>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</si>
  <si>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</si>
  <si>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</si>
  <si>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</si>
  <si>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</si>
  <si>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</si>
  <si>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</si>
  <si>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</si>
  <si>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</si>
  <si>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</si>
  <si>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</si>
  <si>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</si>
  <si>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</si>
  <si>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</si>
  <si>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</si>
  <si>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</si>
  <si>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</si>
  <si>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</si>
  <si>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</si>
  <si>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</si>
  <si>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</si>
  <si>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</si>
  <si>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</si>
  <si>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</si>
  <si>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</si>
  <si>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</si>
  <si>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</si>
  <si>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</si>
  <si>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</si>
  <si>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</si>
  <si>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</si>
  <si>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</si>
  <si>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</si>
  <si>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</si>
  <si>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</si>
  <si>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</si>
  <si>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</si>
  <si>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</si>
  <si>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</si>
  <si>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</si>
  <si>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</si>
  <si>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</si>
  <si>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</si>
  <si>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</si>
  <si>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</si>
  <si>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</si>
  <si>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</si>
  <si>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</si>
  <si>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</si>
  <si>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</si>
  <si>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</si>
  <si>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</si>
  <si>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</si>
  <si>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</si>
  <si>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</si>
  <si>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</si>
  <si>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</si>
  <si>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</si>
  <si>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</si>
  <si>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</si>
  <si>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</si>
  <si>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</si>
  <si>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</si>
  <si>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</si>
  <si>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</si>
  <si>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</si>
  <si>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</si>
  <si>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</si>
  <si>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</si>
  <si>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</si>
  <si>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</si>
  <si>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</si>
  <si>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</si>
  <si>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</si>
  <si>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</si>
  <si>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</si>
  <si>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</si>
  <si>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</si>
  <si>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</si>
  <si>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</si>
  <si>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</si>
  <si>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</si>
  <si>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</si>
  <si>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</si>
  <si>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</si>
  <si>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</si>
  <si>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</si>
  <si>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</si>
  <si>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</si>
  <si>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</si>
  <si>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</si>
  <si>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</si>
  <si>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</si>
  <si>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</si>
  <si>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</si>
  <si>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</si>
  <si>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</si>
  <si>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</si>
  <si>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</si>
  <si>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</si>
  <si>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</si>
  <si>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</si>
  <si>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</si>
  <si>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</si>
  <si>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</si>
  <si>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</si>
  <si>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</si>
  <si>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</si>
  <si>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</si>
  <si>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</si>
  <si>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</si>
  <si>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</si>
  <si>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</si>
  <si>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</si>
  <si>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</si>
  <si>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</si>
  <si>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</si>
  <si>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</si>
  <si>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</si>
  <si>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</si>
  <si>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</si>
  <si>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</si>
  <si>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</si>
  <si>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</si>
  <si>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</si>
  <si>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</si>
  <si>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</si>
  <si>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</si>
  <si>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</si>
  <si>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</si>
  <si>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</si>
  <si>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</si>
  <si>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</si>
  <si>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</si>
  <si>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</si>
  <si>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</si>
  <si>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</si>
  <si>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</si>
  <si>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</si>
  <si>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</si>
  <si>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</si>
  <si>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</si>
  <si>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</si>
  <si>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</si>
  <si>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</si>
  <si>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</si>
  <si>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</si>
  <si>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</si>
  <si>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</si>
  <si>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</si>
  <si>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</si>
  <si>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</si>
  <si>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</si>
  <si>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</si>
  <si>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</si>
  <si>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</si>
  <si>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</si>
  <si>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</si>
  <si>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</si>
  <si>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</si>
  <si>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</si>
  <si>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</si>
  <si>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</si>
  <si>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</si>
  <si>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</si>
  <si>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</si>
  <si>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</si>
  <si>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</si>
  <si>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</si>
  <si>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</si>
  <si>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</si>
  <si>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</si>
  <si>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</si>
  <si>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</si>
  <si>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</si>
  <si>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</si>
  <si>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</si>
  <si>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</si>
  <si>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</si>
  <si>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</si>
  <si>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</si>
  <si>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</si>
  <si>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</si>
  <si>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</si>
  <si>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</si>
  <si>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</si>
  <si>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</si>
  <si>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</si>
  <si>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</si>
  <si>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</si>
  <si>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</si>
  <si>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</si>
  <si>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</si>
  <si>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</si>
  <si>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</si>
  <si>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</si>
  <si>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</si>
  <si>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</si>
  <si>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</si>
  <si>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</si>
  <si>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</si>
  <si>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</si>
  <si>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</si>
  <si>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</si>
  <si>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</si>
  <si>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</si>
  <si>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</si>
  <si>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</si>
  <si>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</si>
  <si>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</si>
  <si>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</si>
  <si>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</si>
  <si>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</si>
  <si>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</si>
  <si>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</si>
  <si>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</si>
  <si>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</si>
  <si>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</si>
  <si>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</si>
  <si>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</si>
  <si>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</si>
  <si>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</si>
  <si>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</si>
  <si>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</si>
  <si>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</si>
  <si>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</si>
  <si>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</si>
  <si>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</si>
  <si>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</si>
  <si>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</si>
  <si>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</si>
  <si>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</si>
  <si>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</si>
  <si>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</si>
  <si>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</si>
  <si>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</si>
  <si>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</si>
  <si>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</si>
  <si>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</si>
  <si>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</si>
  <si>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</si>
  <si>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</si>
  <si>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</si>
  <si>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</si>
  <si>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</si>
  <si>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</si>
  <si>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</si>
  <si>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</si>
  <si>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</si>
  <si>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</si>
  <si>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</si>
  <si>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</si>
  <si>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</si>
  <si>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</si>
  <si>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</si>
  <si>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</si>
  <si>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</si>
  <si>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</si>
  <si>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</si>
  <si>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</si>
  <si>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</si>
  <si>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</si>
  <si>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</si>
  <si>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</si>
  <si>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</si>
  <si>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</si>
  <si>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</si>
  <si>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</si>
  <si>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</si>
  <si>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</si>
  <si>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</si>
  <si>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</si>
  <si>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</si>
  <si>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</si>
  <si>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</si>
  <si>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</si>
  <si>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</si>
  <si>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</si>
  <si>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</si>
  <si>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</si>
  <si>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</si>
  <si>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</si>
  <si>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</si>
  <si>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</si>
  <si>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</si>
  <si>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</si>
  <si>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</si>
  <si>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</si>
  <si>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</si>
  <si>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</si>
  <si>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</si>
  <si>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</si>
  <si>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</si>
  <si>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</si>
  <si>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</si>
  <si>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</si>
  <si>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</si>
  <si>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</si>
  <si>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</si>
  <si>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</si>
  <si>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</si>
  <si>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</si>
  <si>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</si>
  <si>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</si>
  <si>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</si>
  <si>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</si>
  <si>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</si>
  <si>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</si>
  <si>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</si>
  <si>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</si>
  <si>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</si>
  <si>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</si>
  <si>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</si>
  <si>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</si>
  <si>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</si>
  <si>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</si>
  <si>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</si>
  <si>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</si>
  <si>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</si>
  <si>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</si>
  <si>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</si>
  <si>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</si>
  <si>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</si>
  <si>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</si>
  <si>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</si>
  <si>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</si>
  <si>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</si>
  <si>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</si>
  <si>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</si>
  <si>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</si>
  <si>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</si>
  <si>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</si>
  <si>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</si>
  <si>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</si>
  <si>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</si>
  <si>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</si>
  <si>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</si>
  <si>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</si>
  <si>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</si>
  <si>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</si>
  <si>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</si>
  <si>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</si>
  <si>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</si>
  <si>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</si>
  <si>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</si>
  <si>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</si>
  <si>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</si>
  <si>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</si>
  <si>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</si>
  <si>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</si>
  <si>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</si>
  <si>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</si>
  <si>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</si>
  <si>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</si>
  <si>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</si>
  <si>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</si>
  <si>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</si>
  <si>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</si>
  <si>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</si>
  <si>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</si>
  <si>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</si>
  <si>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</si>
  <si>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</si>
  <si>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</si>
  <si>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</si>
  <si>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</si>
  <si>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</si>
  <si>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</si>
  <si>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</si>
  <si>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</si>
  <si>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</si>
  <si>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</si>
  <si>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</si>
  <si>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</si>
  <si>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</si>
  <si>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</si>
  <si>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</si>
  <si>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</si>
  <si>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</si>
  <si>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</si>
  <si>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</si>
  <si>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</si>
  <si>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</si>
  <si>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</si>
  <si>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</si>
  <si>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</si>
  <si>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</si>
  <si>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</si>
  <si>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</si>
  <si>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</si>
  <si>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</si>
  <si>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</si>
  <si>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</si>
  <si>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</si>
  <si>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</si>
  <si>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</si>
  <si>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</si>
  <si>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</si>
  <si>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</si>
  <si>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</si>
  <si>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</si>
  <si>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</si>
  <si>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</si>
  <si>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</si>
  <si>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</si>
  <si>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</si>
  <si>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</si>
  <si>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</si>
  <si>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</si>
  <si>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</si>
  <si>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</si>
  <si>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</si>
  <si>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</si>
  <si>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</si>
  <si>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</si>
  <si>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</si>
  <si>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</si>
  <si>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</si>
  <si>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</si>
  <si>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</si>
  <si>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</si>
  <si>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</si>
  <si>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</si>
  <si>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</si>
  <si>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</si>
  <si>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</si>
  <si>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</si>
  <si>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</si>
  <si>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</si>
  <si>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</si>
  <si>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</si>
  <si>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</si>
  <si>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</si>
  <si>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</si>
  <si>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</si>
  <si>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</si>
  <si>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</si>
  <si>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</si>
  <si>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</si>
  <si>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</si>
  <si>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</si>
  <si>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</si>
  <si>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</si>
  <si>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</si>
  <si>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</si>
  <si>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</si>
  <si>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</si>
  <si>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</si>
  <si>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</si>
  <si>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</si>
  <si>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</si>
  <si>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</si>
  <si>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</si>
  <si>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</si>
  <si>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</si>
  <si>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</si>
  <si>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</si>
  <si>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</si>
  <si>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</si>
  <si>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</si>
  <si>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</si>
  <si>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</si>
  <si>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</si>
  <si>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</si>
  <si>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</si>
  <si>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</si>
  <si>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</si>
  <si>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</si>
  <si>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</si>
  <si>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</si>
  <si>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</si>
  <si>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</si>
  <si>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</si>
  <si>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</si>
  <si>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</si>
  <si>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</si>
  <si>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</si>
  <si>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</si>
  <si>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</si>
  <si>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</si>
  <si>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</si>
  <si>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</si>
  <si>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</si>
  <si>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</si>
  <si>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</si>
  <si>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</si>
  <si>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</si>
  <si>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</si>
  <si>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</si>
  <si>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</si>
  <si>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</si>
  <si>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</si>
  <si>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</si>
  <si>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</si>
  <si>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</si>
  <si>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</si>
  <si>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</si>
  <si>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</si>
  <si>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</si>
  <si>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</si>
  <si>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</si>
  <si>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</si>
  <si>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</si>
  <si>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</si>
  <si>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</si>
  <si>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</si>
  <si>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</si>
  <si>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</si>
  <si>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</si>
  <si>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</si>
  <si>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</si>
  <si>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</si>
  <si>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</si>
  <si>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</si>
  <si>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</si>
  <si>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</si>
  <si>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</si>
  <si>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</si>
  <si>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</si>
  <si>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</si>
  <si>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</si>
  <si>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</si>
  <si>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</si>
  <si>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</si>
  <si>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</si>
  <si>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</si>
  <si>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</si>
  <si>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</si>
  <si>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</si>
  <si>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</si>
  <si>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</si>
  <si>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</si>
  <si>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</si>
  <si>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</si>
  <si>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</si>
  <si>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</si>
  <si>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</si>
  <si>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</si>
  <si>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</si>
  <si>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</si>
  <si>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</si>
  <si>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</si>
  <si>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</si>
  <si>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</si>
  <si>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</si>
  <si>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</si>
  <si>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</si>
  <si>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</si>
  <si>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</si>
  <si>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</si>
  <si>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</si>
  <si>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</si>
  <si>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</si>
  <si>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</si>
  <si>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</si>
  <si>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</si>
  <si>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</si>
  <si>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</si>
  <si>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</si>
  <si>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</si>
  <si>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</si>
  <si>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</si>
  <si>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</si>
  <si>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</si>
  <si>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</si>
  <si>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</si>
  <si>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</si>
  <si>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</si>
  <si>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</si>
  <si>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</si>
  <si>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</si>
  <si>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</si>
  <si>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</si>
  <si>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</si>
  <si>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</si>
  <si>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</si>
  <si>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</si>
  <si>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</si>
  <si>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</si>
  <si>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</si>
  <si>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</si>
  <si>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</si>
  <si>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</si>
  <si>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</si>
  <si>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</si>
  <si>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</si>
  <si>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</si>
  <si>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</si>
  <si>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</si>
  <si>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</si>
  <si>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</si>
  <si>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</si>
  <si>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</si>
  <si>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</si>
  <si>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</si>
  <si>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</si>
  <si>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</si>
  <si>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</si>
  <si>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</si>
  <si>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</si>
  <si>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</si>
  <si>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</si>
  <si>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</si>
  <si>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</si>
  <si>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</si>
  <si>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</si>
  <si>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</si>
  <si>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</si>
  <si>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</si>
  <si>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</si>
  <si>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</si>
  <si>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</si>
  <si>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</si>
  <si>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</si>
  <si>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</si>
  <si>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</si>
  <si>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</si>
  <si>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</si>
  <si>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</si>
  <si>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</si>
  <si>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</si>
  <si>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</si>
  <si>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</si>
  <si>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</si>
  <si>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</si>
  <si>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</si>
  <si>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</si>
  <si>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</si>
  <si>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</si>
  <si>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</si>
  <si>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</si>
  <si>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</si>
  <si>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</si>
  <si>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</si>
  <si>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</si>
  <si>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</si>
  <si>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</si>
  <si>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</si>
  <si>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</si>
  <si>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</si>
  <si>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</si>
  <si>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</si>
  <si>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</si>
  <si>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</si>
  <si>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</si>
  <si>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</si>
  <si>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</si>
  <si>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</si>
  <si>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</si>
  <si>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</si>
  <si>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</si>
  <si>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</si>
  <si>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</si>
  <si>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</si>
  <si>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</si>
  <si>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</si>
  <si>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</si>
  <si>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</si>
  <si>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</si>
  <si>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</si>
  <si>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</si>
  <si>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</si>
  <si>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</si>
  <si>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</si>
  <si>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</si>
  <si>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</si>
  <si>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</si>
  <si>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</si>
  <si>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</si>
  <si>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</si>
  <si>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</si>
  <si>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</si>
  <si>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</si>
  <si>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</si>
  <si>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</si>
  <si>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</si>
  <si>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</si>
  <si>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</si>
  <si>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</si>
  <si>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</si>
  <si>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</si>
  <si>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</si>
  <si>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</si>
  <si>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</si>
  <si>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</si>
  <si>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</si>
  <si>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</si>
  <si>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</si>
  <si>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</si>
  <si>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</si>
  <si>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</si>
  <si>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</si>
  <si>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</si>
  <si>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</si>
  <si>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</si>
  <si>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</si>
  <si>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</si>
  <si>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</si>
  <si>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</si>
  <si>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</si>
  <si>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</si>
  <si>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</si>
  <si>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</si>
  <si>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</si>
  <si>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</si>
  <si>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</si>
  <si>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</si>
  <si>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</si>
  <si>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</si>
  <si>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</si>
  <si>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</si>
  <si>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</si>
  <si>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</si>
  <si>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</si>
  <si>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</si>
  <si>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</si>
  <si>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</si>
  <si>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</si>
  <si>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</si>
  <si>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</si>
  <si>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</si>
  <si>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</si>
  <si>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</si>
  <si>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</si>
  <si>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</si>
  <si>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</si>
  <si>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</si>
  <si>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</si>
  <si>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</si>
  <si>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</si>
  <si>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</si>
  <si>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</si>
  <si>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</si>
  <si>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</si>
  <si>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</si>
  <si>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</si>
  <si>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</si>
  <si>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</si>
  <si>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</si>
  <si>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</si>
  <si>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</si>
  <si>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</si>
  <si>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</si>
  <si>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</si>
  <si>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</si>
  <si>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</si>
  <si>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</si>
  <si>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</si>
  <si>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</si>
  <si>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</si>
  <si>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</si>
  <si>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</si>
  <si>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</si>
  <si>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</si>
  <si>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</si>
  <si>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</si>
  <si>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</si>
  <si>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</si>
  <si>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</si>
  <si>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</si>
  <si>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</si>
  <si>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</si>
  <si>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</si>
  <si>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</si>
  <si>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</si>
  <si>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</si>
  <si>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</si>
  <si>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</si>
  <si>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</si>
  <si>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</si>
  <si>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</si>
  <si>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</si>
  <si>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</si>
  <si>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</si>
  <si>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</si>
  <si>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</si>
  <si>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</si>
  <si>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</si>
  <si>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</si>
  <si>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</si>
  <si>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</si>
  <si>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</si>
  <si>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</si>
  <si>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</si>
  <si>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</si>
  <si>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</si>
  <si>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</si>
  <si>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</si>
  <si>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</si>
  <si>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</si>
  <si>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</si>
  <si>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</si>
  <si>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</si>
  <si>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</si>
  <si>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</si>
  <si>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</si>
  <si>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</si>
  <si>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</si>
  <si>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</si>
  <si>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</si>
  <si>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</si>
  <si>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</si>
  <si>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</si>
  <si>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</si>
  <si>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</si>
  <si>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</si>
  <si>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</si>
  <si>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</si>
  <si>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</si>
  <si>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</si>
  <si>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</si>
  <si>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</si>
  <si>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</si>
  <si>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</si>
  <si>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</si>
  <si>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</si>
  <si>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</si>
  <si>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</si>
  <si>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</si>
  <si>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</si>
  <si>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</si>
  <si>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</si>
  <si>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</si>
  <si>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</si>
  <si>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</si>
  <si>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</si>
  <si>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</si>
  <si>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</si>
  <si>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</si>
  <si>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</si>
  <si>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</si>
  <si>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</si>
  <si>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</si>
  <si>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</si>
  <si>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</si>
  <si>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</si>
  <si>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</si>
  <si>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</si>
  <si>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</si>
  <si>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</si>
  <si>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</si>
  <si>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</si>
  <si>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</si>
  <si>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</si>
  <si>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</si>
  <si>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</si>
  <si>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</si>
  <si>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</si>
  <si>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</si>
  <si>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</si>
  <si>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</si>
  <si>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</si>
  <si>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</si>
  <si>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</si>
  <si>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</si>
  <si>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</si>
  <si>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</si>
  <si>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</si>
  <si>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</si>
  <si>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</si>
  <si>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</si>
  <si>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</si>
  <si>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</si>
  <si>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</si>
  <si>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</si>
  <si>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</si>
  <si>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</si>
  <si>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</si>
  <si>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</si>
  <si>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</si>
  <si>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</si>
  <si>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</si>
  <si>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</si>
  <si>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</si>
  <si>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</si>
  <si>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</si>
  <si>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</si>
  <si>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</si>
  <si>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</si>
  <si>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</si>
  <si>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</si>
  <si>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</si>
  <si>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</si>
  <si>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</si>
  <si>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</si>
  <si>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</si>
  <si>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</si>
  <si>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</si>
  <si>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</si>
  <si>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</si>
  <si>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</si>
  <si>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</si>
  <si>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</si>
  <si>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</si>
  <si>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</si>
  <si>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</si>
  <si>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</si>
  <si>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</si>
  <si>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</si>
  <si>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</si>
  <si>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</si>
  <si>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</si>
  <si>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</si>
  <si>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</si>
  <si>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</si>
  <si>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</si>
  <si>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</si>
  <si>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</si>
  <si>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</si>
  <si>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</si>
  <si>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</si>
  <si>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</si>
  <si>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</si>
  <si>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</si>
  <si>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</si>
  <si>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</si>
  <si>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</si>
  <si>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</si>
  <si>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</si>
  <si>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</si>
  <si>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</si>
  <si>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</si>
  <si>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</si>
  <si>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</si>
  <si>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</si>
  <si>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</si>
  <si>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</si>
  <si>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</si>
  <si>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</si>
  <si>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</si>
  <si>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</si>
  <si>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</si>
  <si>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</si>
  <si>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</si>
  <si>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</si>
  <si>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</si>
  <si>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</si>
  <si>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</si>
  <si>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</si>
  <si>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</si>
  <si>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</si>
  <si>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</si>
  <si>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</si>
  <si>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</si>
  <si>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</si>
  <si>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</si>
  <si>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</si>
  <si>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</si>
  <si>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</si>
  <si>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</si>
  <si>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</si>
  <si>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</si>
  <si>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</si>
  <si>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</si>
  <si>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</si>
  <si>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</si>
  <si>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</si>
  <si>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</si>
  <si>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</si>
  <si>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</si>
  <si>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</si>
  <si>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</si>
  <si>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</si>
  <si>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</si>
  <si>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</si>
  <si>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</si>
  <si>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</si>
  <si>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</si>
  <si>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</si>
  <si>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</si>
  <si>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</si>
  <si>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</si>
  <si>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</si>
  <si>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</si>
  <si>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</si>
  <si>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</si>
  <si>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</si>
  <si>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</si>
  <si>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</si>
  <si>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</si>
  <si>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</si>
  <si>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</si>
  <si>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</si>
  <si>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</si>
  <si>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</si>
  <si>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</si>
  <si>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</si>
  <si>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</si>
  <si>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</si>
  <si>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</si>
  <si>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</si>
  <si>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</si>
  <si>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</si>
  <si>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</si>
  <si>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</si>
  <si>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</si>
  <si>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</si>
  <si>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</si>
  <si>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</si>
  <si>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</si>
  <si>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</si>
  <si>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</si>
  <si>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</si>
  <si>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</si>
  <si>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</si>
  <si>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</si>
  <si>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</si>
  <si>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</si>
  <si>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</si>
  <si>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</si>
  <si>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</si>
  <si>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</si>
  <si>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</si>
  <si>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</si>
  <si>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</si>
  <si>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</si>
  <si>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</si>
  <si>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</si>
  <si>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</si>
  <si>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</si>
  <si>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</si>
  <si>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</si>
  <si>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</si>
  <si>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</si>
  <si>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</si>
  <si>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</si>
  <si>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</si>
  <si>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</si>
  <si>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</si>
  <si>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</si>
  <si>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</si>
  <si>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</si>
  <si>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</si>
  <si>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</si>
  <si>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</si>
  <si>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</si>
  <si>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</si>
  <si>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</si>
  <si>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</si>
  <si>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</si>
  <si>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</si>
  <si>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</si>
  <si>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</si>
  <si>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</si>
  <si>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</si>
  <si>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</si>
  <si>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</si>
  <si>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</si>
  <si>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</si>
  <si>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</si>
  <si>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</si>
  <si>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</si>
  <si>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</si>
  <si>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</si>
  <si>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</si>
  <si>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</si>
  <si>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</si>
  <si>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</si>
  <si>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</si>
  <si>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</si>
  <si>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</si>
  <si>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</si>
  <si>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</si>
  <si>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</si>
  <si>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</si>
  <si>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</si>
  <si>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</si>
  <si>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</si>
  <si>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</si>
  <si>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</si>
  <si>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</si>
  <si>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</si>
  <si>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</si>
  <si>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</si>
  <si>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</si>
  <si>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</si>
  <si>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</si>
  <si>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</si>
  <si>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</si>
  <si>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</si>
  <si>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</si>
  <si>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</si>
  <si>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</si>
  <si>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</si>
  <si>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</si>
  <si>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</si>
  <si>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</si>
  <si>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</si>
  <si>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</si>
  <si>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</si>
  <si>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</si>
  <si>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</si>
  <si>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</si>
  <si>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</si>
  <si>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</si>
  <si>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</si>
  <si>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</si>
  <si>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</si>
  <si>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</si>
  <si>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</si>
  <si>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</si>
  <si>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</si>
  <si>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</si>
  <si>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</si>
  <si>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</si>
  <si>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</si>
  <si>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</si>
  <si>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</si>
  <si>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</si>
  <si>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</si>
  <si>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</si>
  <si>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</si>
  <si>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</si>
  <si>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</si>
  <si>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</si>
  <si>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</si>
  <si>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</si>
  <si>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</si>
  <si>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</si>
  <si>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</si>
  <si>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</si>
  <si>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</si>
  <si>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</si>
  <si>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</si>
  <si>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</si>
  <si>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</si>
  <si>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</si>
  <si>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</si>
  <si>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</si>
  <si>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</si>
  <si>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</si>
  <si>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</si>
  <si>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</si>
  <si>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</si>
  <si>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</si>
  <si>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</si>
  <si>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</si>
  <si>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</si>
  <si>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</si>
  <si>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</si>
  <si>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</si>
  <si>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</si>
  <si>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</si>
  <si>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</si>
  <si>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</si>
  <si>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</si>
  <si>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</si>
  <si>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</si>
  <si>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</si>
  <si>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</si>
  <si>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</si>
  <si>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</si>
  <si>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</si>
  <si>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</si>
  <si>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</si>
  <si>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</si>
  <si>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</si>
  <si>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</si>
  <si>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</si>
  <si>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</si>
  <si>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</si>
  <si>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</si>
  <si>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</si>
  <si>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</si>
  <si>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</si>
  <si>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</si>
  <si>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</si>
  <si>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</si>
  <si>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</si>
  <si>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</si>
  <si>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</si>
  <si>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</si>
  <si>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</si>
  <si>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</si>
  <si>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</si>
  <si>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</si>
  <si>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</si>
  <si>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</si>
  <si>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</si>
  <si>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</si>
  <si>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</si>
  <si>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</si>
  <si>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</si>
  <si>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</si>
  <si>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</si>
  <si>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</si>
  <si>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</si>
  <si>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</si>
  <si>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</si>
  <si>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</si>
  <si>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</si>
  <si>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</si>
  <si>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</si>
  <si>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</si>
  <si>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</si>
  <si>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</si>
  <si>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</si>
  <si>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</si>
  <si>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</si>
  <si>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</si>
  <si>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</si>
  <si>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</si>
  <si>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</si>
  <si>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</si>
  <si>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</si>
  <si>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</si>
  <si>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</si>
  <si>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</si>
  <si>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</si>
  <si>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</si>
  <si>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</si>
  <si>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</si>
  <si>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</si>
  <si>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</si>
  <si>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</si>
  <si>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</si>
  <si>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</si>
  <si>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</si>
  <si>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</si>
  <si>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</si>
  <si>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</si>
  <si>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</si>
  <si>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</si>
  <si>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</si>
  <si>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</si>
  <si>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</si>
  <si>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</si>
  <si>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</si>
  <si>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</si>
  <si>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</si>
  <si>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</si>
  <si>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</si>
  <si>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</si>
  <si>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</si>
  <si>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</si>
  <si>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</si>
  <si>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</si>
  <si>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</si>
  <si>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</si>
  <si>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</si>
  <si>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</si>
  <si>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</si>
  <si>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</si>
  <si>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</si>
  <si>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</si>
  <si>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</si>
  <si>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</si>
  <si>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</si>
  <si>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</si>
  <si>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</si>
  <si>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</si>
  <si>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</si>
  <si>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</si>
  <si>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</si>
  <si>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</si>
  <si>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</si>
  <si>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</si>
  <si>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</si>
  <si>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</si>
  <si>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</si>
  <si>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</si>
  <si>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</si>
  <si>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</si>
  <si>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</si>
  <si>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</si>
  <si>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</si>
  <si>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</si>
  <si>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</si>
  <si>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</si>
  <si>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</si>
  <si>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</si>
  <si>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</si>
  <si>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</si>
  <si>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</si>
  <si>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</si>
  <si>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</si>
  <si>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</si>
  <si>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</si>
  <si>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</si>
  <si>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</si>
  <si>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</si>
  <si>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</si>
  <si>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</si>
  <si>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</si>
  <si>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</si>
  <si>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</si>
  <si>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</si>
  <si>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</si>
  <si>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</si>
  <si>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</si>
  <si>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</si>
  <si>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</si>
  <si>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</si>
  <si>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</si>
  <si>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</si>
  <si>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</si>
  <si>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</si>
  <si>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</si>
  <si>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</si>
  <si>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</si>
  <si>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</si>
  <si>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</si>
  <si>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</si>
  <si>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</si>
  <si>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</si>
  <si>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</si>
  <si>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</si>
  <si>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</si>
  <si>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</si>
  <si>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</si>
  <si>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</si>
  <si>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</si>
  <si>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</si>
  <si>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</si>
  <si>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</si>
  <si>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</si>
  <si>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</si>
  <si>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</si>
  <si>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</si>
  <si>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</si>
  <si>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</si>
  <si>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</si>
  <si>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</si>
  <si>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</si>
  <si>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</si>
  <si>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</si>
  <si>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</si>
  <si>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</si>
  <si>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</si>
  <si>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</si>
  <si>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</si>
  <si>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</si>
  <si>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</si>
  <si>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</si>
  <si>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</si>
  <si>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</si>
  <si>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</si>
  <si>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</si>
  <si>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</si>
  <si>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</si>
  <si>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</si>
  <si>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</si>
  <si>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</si>
  <si>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</si>
  <si>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</si>
  <si>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</si>
  <si>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</si>
  <si>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</si>
  <si>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</si>
  <si>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</si>
  <si>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</si>
  <si>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</si>
  <si>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</si>
  <si>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</si>
  <si>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</si>
  <si>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</si>
  <si>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</si>
  <si>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</si>
  <si>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</si>
  <si>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</si>
  <si>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</si>
  <si>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</si>
  <si>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</si>
  <si>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</si>
  <si>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</si>
  <si>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</si>
  <si>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</si>
  <si>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</si>
  <si>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</si>
  <si>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</si>
  <si>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</si>
  <si>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</si>
  <si>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</si>
  <si>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</si>
  <si>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</si>
  <si>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</si>
  <si>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</si>
  <si>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</si>
  <si>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</si>
  <si>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</si>
  <si>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</si>
  <si>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</si>
  <si>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</si>
  <si>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</si>
  <si>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</si>
  <si>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</si>
  <si>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</si>
  <si>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</si>
  <si>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</si>
  <si>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</si>
  <si>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</si>
  <si>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</si>
  <si>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</si>
  <si>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</si>
  <si>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</si>
  <si>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</si>
  <si>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</si>
  <si>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</si>
  <si>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</si>
  <si>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</si>
  <si>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</si>
  <si>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</si>
  <si>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</si>
  <si>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</si>
  <si>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</si>
  <si>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</si>
  <si>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</si>
  <si>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</si>
  <si>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</si>
  <si>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</si>
  <si>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</si>
  <si>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</si>
  <si>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</si>
  <si>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</si>
  <si>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</si>
  <si>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</si>
  <si>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</si>
  <si>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</si>
  <si>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</si>
  <si>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</si>
  <si>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</si>
  <si>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</si>
  <si>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</si>
  <si>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</si>
  <si>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</si>
  <si>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</si>
  <si>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</si>
  <si>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</si>
  <si>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</si>
  <si>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</si>
  <si>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</si>
  <si>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</si>
  <si>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</si>
  <si>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</si>
  <si>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</si>
  <si>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</si>
  <si>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</si>
  <si>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</si>
  <si>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</si>
  <si>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</si>
  <si>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</si>
  <si>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</si>
  <si>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</si>
  <si>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</si>
  <si>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</si>
  <si>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</si>
  <si>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</si>
  <si>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</si>
  <si>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</si>
  <si>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</si>
  <si>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</si>
  <si>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</si>
  <si>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</si>
  <si>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</si>
  <si>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</si>
  <si>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</si>
  <si>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</si>
  <si>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</si>
  <si>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</si>
  <si>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</si>
  <si>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</si>
  <si>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</si>
  <si>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</si>
  <si>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</si>
  <si>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</si>
  <si>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</si>
  <si>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</si>
  <si>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</si>
  <si>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</si>
  <si>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</si>
  <si>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</si>
  <si>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</si>
  <si>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</si>
  <si>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</si>
  <si>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</si>
  <si>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</si>
  <si>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</si>
  <si>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</si>
  <si>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</si>
  <si>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</si>
  <si>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</si>
  <si>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</si>
  <si>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</si>
  <si>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</si>
  <si>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</si>
  <si>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</si>
  <si>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</si>
  <si>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</si>
  <si>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</si>
  <si>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</si>
  <si>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</si>
  <si>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</si>
  <si>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</si>
  <si>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</si>
  <si>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</si>
  <si>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</si>
  <si>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</si>
  <si>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</si>
  <si>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</si>
  <si>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</si>
  <si>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</si>
  <si>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</si>
  <si>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</si>
  <si>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</si>
  <si>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</si>
  <si>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</si>
  <si>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</si>
  <si>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</si>
  <si>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</si>
  <si>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</si>
  <si>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</si>
  <si>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</si>
  <si>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</si>
  <si>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</si>
  <si>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</si>
  <si>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</si>
  <si>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</si>
  <si>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</si>
  <si>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</si>
  <si>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</si>
  <si>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</si>
  <si>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</si>
  <si>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</si>
  <si>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</si>
  <si>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</si>
  <si>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</si>
  <si>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</si>
  <si>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</si>
  <si>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</si>
  <si>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</si>
  <si>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</si>
  <si>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</si>
  <si>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</si>
  <si>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</si>
  <si>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</si>
  <si>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</si>
  <si>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</si>
  <si>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</si>
  <si>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</si>
  <si>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</si>
  <si>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</si>
  <si>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</si>
  <si>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</si>
  <si>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</si>
  <si>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</si>
  <si>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</si>
  <si>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</si>
  <si>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</si>
  <si>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</si>
  <si>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</si>
  <si>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</si>
  <si>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</si>
  <si>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</si>
  <si>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</si>
  <si>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</si>
  <si>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</si>
  <si>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</si>
  <si>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</si>
  <si>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</si>
  <si>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</si>
  <si>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</si>
  <si>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</si>
  <si>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</si>
  <si>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</si>
  <si>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</si>
  <si>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</si>
  <si>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</si>
  <si>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</si>
  <si>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</si>
  <si>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</si>
  <si>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</si>
  <si>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</si>
  <si>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</si>
  <si>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</si>
  <si>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</si>
  <si>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</si>
  <si>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</si>
  <si>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</si>
  <si>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</si>
  <si>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</si>
  <si>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</si>
  <si>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</si>
  <si>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</si>
  <si>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</si>
  <si>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</si>
  <si>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</si>
  <si>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</si>
  <si>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</si>
  <si>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</si>
  <si>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</si>
  <si>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</si>
  <si>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</si>
  <si>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</si>
  <si>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</si>
  <si>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</si>
  <si>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</si>
  <si>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</si>
  <si>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</si>
  <si>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</si>
  <si>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</si>
  <si>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</si>
  <si>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</si>
  <si>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</si>
  <si>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</si>
  <si>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</si>
  <si>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</si>
  <si>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</si>
  <si>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</si>
  <si>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</si>
  <si>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</si>
  <si>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</si>
  <si>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</si>
  <si>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</si>
  <si>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</si>
  <si>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</si>
  <si>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</si>
  <si>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</si>
  <si>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</si>
  <si>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</si>
  <si>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</si>
  <si>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</si>
  <si>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</si>
  <si>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</si>
  <si>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</si>
  <si>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</si>
  <si>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</si>
  <si>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</si>
  <si>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</si>
  <si>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</si>
  <si>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</si>
  <si>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</si>
  <si>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</si>
  <si>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</si>
  <si>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</si>
  <si>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</si>
  <si>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</si>
  <si>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</si>
  <si>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</si>
  <si>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</si>
  <si>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</si>
  <si>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</si>
  <si>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</si>
  <si>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</si>
  <si>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</si>
  <si>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</si>
  <si>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</si>
  <si>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</si>
  <si>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</si>
  <si>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</si>
  <si>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</si>
  <si>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</si>
  <si>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</si>
  <si>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</si>
  <si>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</si>
  <si>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</si>
  <si>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</si>
  <si>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</si>
  <si>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</si>
  <si>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</si>
  <si>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</si>
  <si>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</si>
  <si>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</si>
  <si>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</si>
  <si>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</si>
  <si>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</si>
  <si>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</si>
  <si>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</si>
  <si>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</si>
  <si>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</si>
  <si>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</si>
  <si>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</si>
  <si>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</si>
  <si>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</si>
  <si>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</si>
  <si>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</si>
  <si>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</si>
  <si>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</si>
  <si>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</si>
  <si>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</si>
  <si>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</si>
  <si>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</si>
  <si>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</si>
  <si>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</si>
  <si>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</si>
  <si>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</si>
  <si>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</si>
  <si>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</si>
  <si>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</si>
  <si>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</si>
  <si>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</si>
  <si>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</si>
  <si>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</si>
  <si>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</si>
  <si>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</si>
  <si>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</si>
  <si>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</si>
  <si>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</si>
  <si>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</si>
  <si>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</si>
  <si>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</si>
  <si>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</si>
  <si>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</si>
  <si>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</si>
  <si>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</si>
  <si>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</si>
  <si>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</si>
  <si>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</si>
  <si>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</si>
  <si>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</si>
  <si>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</si>
  <si>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</si>
  <si>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</si>
  <si>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</si>
  <si>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</si>
  <si>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</si>
  <si>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</si>
  <si>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</si>
  <si>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</si>
  <si>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</si>
  <si>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</si>
  <si>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</si>
  <si>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</si>
  <si>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</si>
  <si>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</si>
  <si>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</si>
  <si>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</si>
  <si>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</si>
  <si>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</si>
  <si>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</si>
  <si>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</si>
  <si>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</si>
  <si>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</si>
  <si>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</si>
  <si>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</si>
  <si>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</si>
  <si>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</si>
  <si>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</si>
  <si>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</si>
  <si>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</si>
  <si>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</si>
  <si>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</si>
  <si>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</si>
  <si>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</si>
  <si>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</si>
  <si>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</si>
  <si>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</si>
  <si>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</si>
  <si>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</si>
  <si>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</si>
  <si>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</si>
  <si>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</si>
  <si>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</si>
  <si>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</si>
  <si>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</si>
  <si>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</si>
  <si>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</si>
  <si>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</si>
  <si>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</si>
  <si>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</si>
  <si>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</si>
  <si>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</si>
  <si>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</si>
  <si>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</si>
  <si>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</si>
  <si>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</si>
  <si>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</si>
  <si>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</si>
  <si>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</si>
  <si>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</si>
  <si>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</si>
  <si>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</si>
  <si>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</si>
  <si>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</si>
  <si>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</si>
  <si>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</si>
  <si>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</si>
  <si>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</si>
  <si>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</si>
  <si>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</si>
  <si>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</si>
  <si>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</si>
  <si>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</si>
  <si>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</si>
  <si>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</si>
  <si>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</si>
  <si>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</si>
  <si>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</si>
  <si>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</si>
  <si>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</si>
  <si>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</si>
  <si>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</si>
  <si>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</si>
  <si>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</si>
  <si>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</si>
  <si>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</si>
  <si>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</si>
  <si>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</si>
  <si>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</si>
  <si>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</si>
  <si>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</si>
  <si>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</si>
  <si>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</si>
  <si>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</si>
  <si>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</si>
  <si>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</si>
  <si>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</si>
  <si>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</si>
  <si>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</si>
  <si>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</si>
  <si>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</si>
  <si>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</si>
  <si>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</si>
  <si>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</si>
  <si>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</si>
  <si>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</si>
  <si>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</si>
  <si>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</si>
  <si>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</si>
  <si>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</si>
  <si>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</si>
  <si>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</si>
  <si>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</si>
  <si>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</si>
  <si>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</si>
  <si>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</si>
  <si>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</si>
  <si>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</si>
  <si>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</si>
  <si>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</si>
  <si>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</si>
  <si>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</si>
  <si>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</si>
  <si>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</si>
  <si>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</si>
  <si>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</si>
  <si>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</si>
  <si>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</si>
  <si>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</si>
  <si>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</si>
  <si>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</si>
  <si>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</si>
  <si>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</si>
  <si>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</si>
  <si>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</si>
  <si>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</si>
  <si>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</si>
  <si>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</si>
  <si>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</si>
  <si>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</si>
  <si>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</si>
  <si>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</si>
  <si>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</si>
  <si>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</si>
  <si>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</si>
  <si>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</si>
  <si>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</si>
  <si>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</si>
  <si>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</si>
  <si>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</si>
  <si>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</si>
  <si>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</si>
  <si>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</si>
  <si>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</si>
  <si>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</si>
  <si>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</si>
  <si>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</si>
  <si>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</si>
  <si>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</si>
  <si>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</si>
  <si>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</si>
  <si>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</si>
  <si>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</si>
  <si>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</si>
  <si>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</si>
  <si>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</si>
  <si>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</si>
  <si>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</si>
  <si>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</si>
  <si>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</si>
  <si>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</si>
  <si>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</si>
  <si>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</si>
  <si>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</si>
  <si>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</si>
  <si>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</si>
  <si>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</si>
  <si>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</si>
  <si>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</si>
  <si>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</si>
  <si>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</si>
  <si>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</si>
  <si>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</si>
  <si>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</si>
  <si>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</si>
  <si>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</si>
  <si>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</si>
  <si>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</si>
  <si>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</si>
  <si>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</si>
  <si>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</si>
  <si>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</si>
  <si>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</si>
  <si>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</si>
  <si>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</si>
  <si>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</si>
  <si>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</si>
  <si>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</si>
  <si>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</si>
  <si>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</si>
  <si>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</si>
  <si>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</si>
  <si>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</si>
  <si>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</si>
  <si>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</si>
  <si>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</si>
  <si>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</si>
  <si>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</si>
  <si>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</si>
  <si>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</si>
  <si>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</si>
  <si>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</si>
  <si>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</si>
  <si>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</si>
  <si>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</si>
  <si>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</si>
  <si>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</si>
  <si>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</si>
  <si>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</si>
  <si>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</si>
  <si>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</si>
  <si>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</si>
  <si>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</si>
  <si>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</si>
  <si>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</si>
  <si>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</si>
  <si>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</si>
  <si>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</si>
  <si>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</si>
  <si>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</si>
  <si>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</si>
  <si>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</si>
  <si>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</si>
  <si>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</si>
  <si>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</si>
  <si>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</si>
  <si>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</si>
  <si>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</si>
  <si>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</si>
  <si>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</si>
  <si>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</si>
  <si>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</si>
  <si>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</si>
  <si>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</si>
  <si>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</si>
  <si>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</si>
  <si>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</si>
  <si>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</si>
  <si>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</si>
  <si>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</si>
  <si>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</si>
  <si>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</si>
  <si>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</si>
  <si>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</si>
  <si>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</si>
  <si>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</si>
  <si>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</si>
  <si>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</si>
  <si>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</si>
  <si>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</si>
  <si>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</si>
  <si>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</si>
  <si>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</si>
  <si>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</si>
  <si>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</si>
  <si>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</si>
  <si>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</si>
  <si>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</si>
  <si>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</si>
  <si>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</si>
  <si>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</si>
  <si>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</si>
  <si>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</si>
  <si>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</si>
  <si>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</si>
  <si>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</si>
  <si>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</si>
  <si>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</si>
  <si>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</si>
  <si>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</si>
  <si>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</si>
  <si>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</si>
  <si>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</si>
  <si>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</si>
  <si>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</si>
  <si>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</si>
  <si>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</si>
  <si>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</si>
  <si>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</si>
  <si>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</si>
  <si>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</si>
  <si>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</si>
  <si>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</si>
  <si>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</si>
  <si>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</si>
  <si>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</si>
  <si>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</si>
  <si>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</si>
  <si>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</si>
  <si>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</si>
  <si>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</si>
  <si>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</si>
  <si>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</si>
  <si>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</si>
  <si>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</si>
  <si>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</si>
  <si>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</si>
  <si>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</si>
  <si>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</si>
  <si>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</si>
  <si>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</si>
  <si>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</si>
  <si>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</si>
  <si>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</si>
  <si>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</si>
  <si>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</si>
  <si>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</si>
  <si>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</si>
  <si>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</si>
  <si>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</si>
  <si>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</si>
  <si>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</si>
  <si>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</si>
  <si>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</si>
  <si>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</si>
  <si>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</si>
  <si>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</si>
  <si>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</si>
  <si>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</si>
  <si>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</si>
  <si>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</si>
  <si>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</si>
  <si>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</si>
  <si>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</si>
  <si>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</si>
  <si>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</si>
  <si>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</si>
  <si>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</si>
  <si>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</si>
  <si>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</si>
  <si>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</si>
  <si>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</si>
  <si>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</si>
  <si>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</si>
  <si>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</si>
  <si>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</si>
  <si>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</si>
  <si>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</si>
  <si>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</si>
  <si>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</si>
  <si>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</si>
  <si>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</si>
  <si>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</si>
  <si>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</si>
  <si>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</si>
  <si>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</si>
  <si>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</si>
  <si>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</si>
  <si>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</si>
  <si>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</si>
  <si>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</si>
  <si>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</si>
  <si>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</si>
  <si>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</si>
  <si>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</si>
  <si>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</si>
  <si>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</si>
  <si>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</si>
  <si>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</si>
  <si>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</si>
  <si>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</si>
  <si>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</si>
  <si>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</si>
  <si>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</si>
  <si>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</si>
  <si>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</si>
  <si>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</si>
  <si>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</si>
  <si>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</si>
  <si>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</si>
  <si>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</si>
  <si>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</si>
  <si>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</si>
  <si>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</si>
  <si>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</si>
  <si>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</si>
  <si>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</si>
  <si>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</si>
  <si>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</si>
  <si>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</si>
  <si>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</si>
  <si>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</si>
  <si>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</si>
  <si>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</si>
  <si>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</si>
  <si>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</si>
  <si>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</si>
  <si>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</si>
  <si>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</si>
  <si>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</si>
  <si>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</si>
  <si>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</si>
  <si>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</si>
  <si>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</si>
  <si>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</si>
  <si>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</si>
  <si>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</si>
  <si>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</si>
  <si>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</si>
  <si>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</si>
  <si>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</si>
  <si>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</si>
  <si>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</si>
  <si>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</si>
  <si>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</si>
  <si>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</si>
  <si>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</si>
  <si>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</si>
  <si>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</si>
  <si>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</si>
  <si>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</si>
  <si>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</si>
  <si>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</si>
  <si>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</si>
  <si>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</si>
  <si>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</si>
  <si>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</si>
  <si>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</si>
  <si>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</si>
  <si>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</si>
  <si>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</si>
  <si>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</si>
  <si>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</si>
  <si>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</si>
  <si>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</si>
  <si>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</si>
  <si>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</si>
  <si>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</si>
  <si>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</si>
  <si>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</si>
  <si>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</si>
  <si>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</si>
  <si>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</si>
  <si>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</si>
  <si>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</si>
  <si>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</si>
  <si>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</si>
  <si>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</si>
  <si>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</si>
  <si>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</si>
  <si>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</si>
  <si>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</si>
  <si>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</si>
  <si>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</si>
  <si>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</si>
  <si>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</si>
  <si>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</si>
  <si>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</si>
  <si>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</si>
  <si>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</si>
  <si>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</si>
  <si>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</si>
  <si>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</si>
  <si>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</si>
  <si>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</si>
  <si>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</si>
  <si>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</si>
  <si>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</si>
  <si>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</si>
  <si>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</si>
  <si>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</si>
  <si>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</si>
  <si>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</si>
  <si>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</si>
  <si>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</si>
  <si>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</si>
  <si>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</si>
  <si>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</si>
  <si>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</si>
  <si>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</si>
  <si>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</si>
  <si>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</si>
  <si>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</si>
  <si>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</si>
  <si>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</si>
  <si>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</si>
  <si>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</si>
  <si>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</si>
  <si>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</si>
  <si>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</si>
  <si>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</si>
  <si>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</si>
  <si>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</si>
  <si>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</si>
  <si>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</si>
  <si>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</si>
  <si>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</si>
  <si>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</si>
  <si>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</si>
  <si>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</si>
  <si>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</si>
  <si>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</si>
  <si>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</si>
  <si>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</si>
  <si>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</si>
  <si>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</si>
  <si>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</si>
  <si>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</si>
  <si>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</si>
  <si>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</si>
  <si>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</si>
  <si>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</si>
  <si>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</si>
  <si>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</si>
  <si>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</si>
  <si>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</si>
  <si>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</si>
  <si>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</si>
  <si>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</si>
  <si>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</si>
  <si>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</si>
  <si>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</si>
  <si>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</si>
  <si>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</si>
  <si>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</si>
  <si>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</si>
  <si>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</si>
  <si>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</si>
  <si>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</si>
  <si>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</si>
  <si>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</si>
  <si>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</si>
  <si>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</si>
  <si>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</si>
  <si>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</si>
  <si>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</si>
  <si>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</si>
  <si>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</si>
  <si>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</si>
  <si>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</si>
  <si>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</si>
  <si>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</si>
  <si>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</si>
  <si>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</si>
  <si>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</si>
  <si>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</si>
  <si>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</si>
  <si>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</si>
  <si>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</si>
  <si>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</si>
  <si>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</si>
  <si>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</si>
  <si>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</si>
  <si>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</si>
  <si>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</si>
  <si>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</si>
  <si>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</si>
  <si>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</si>
  <si>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</si>
  <si>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</si>
  <si>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</si>
  <si>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</si>
  <si>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</si>
  <si>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</si>
  <si>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</si>
  <si>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</si>
  <si>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</si>
  <si>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</si>
  <si>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</si>
  <si>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</si>
  <si>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</si>
  <si>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</si>
  <si>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</si>
  <si>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</si>
  <si>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</si>
  <si>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</si>
  <si>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</si>
  <si>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</si>
  <si>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</si>
  <si>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</si>
  <si>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</si>
  <si>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</si>
  <si>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</si>
  <si>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</si>
  <si>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</si>
  <si>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</si>
  <si>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</si>
  <si>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</si>
  <si>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</si>
  <si>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</si>
  <si>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</si>
  <si>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</si>
  <si>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</si>
  <si>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</si>
  <si>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</si>
  <si>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</si>
  <si>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</si>
  <si>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</si>
  <si>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</si>
  <si>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</si>
  <si>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</si>
  <si>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</si>
  <si>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</si>
  <si>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</si>
  <si>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</si>
  <si>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</si>
  <si>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</si>
  <si>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</si>
  <si>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</si>
  <si>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</si>
  <si>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</si>
  <si>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</si>
  <si>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</si>
  <si>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</si>
  <si>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</si>
  <si>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</si>
  <si>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</si>
  <si>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</si>
  <si>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</si>
  <si>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</si>
  <si>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</si>
  <si>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</si>
  <si>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</si>
  <si>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</si>
  <si>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</si>
  <si>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</si>
  <si>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</si>
  <si>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</si>
  <si>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</si>
  <si>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</si>
  <si>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</si>
  <si>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</si>
  <si>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</si>
  <si>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</si>
  <si>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</si>
  <si>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</si>
  <si>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</si>
  <si>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</si>
  <si>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</si>
  <si>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</si>
  <si>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</si>
  <si>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</si>
  <si>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</si>
  <si>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</si>
  <si>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</si>
  <si>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</si>
  <si>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</si>
  <si>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</si>
  <si>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</si>
  <si>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</si>
  <si>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</si>
  <si>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</si>
  <si>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</si>
  <si>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</si>
  <si>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</si>
  <si>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</si>
  <si>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</si>
  <si>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</si>
  <si>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</si>
  <si>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</si>
  <si>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</si>
  <si>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</si>
  <si>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</si>
  <si>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</si>
  <si>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</si>
  <si>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</si>
  <si>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</si>
  <si>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</si>
  <si>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</si>
  <si>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</si>
  <si>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</si>
  <si>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</si>
  <si>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</si>
  <si>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</si>
  <si>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</si>
  <si>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</si>
  <si>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</si>
  <si>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</si>
  <si>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</si>
  <si>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</si>
  <si>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</si>
  <si>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</si>
  <si>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</si>
  <si>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</si>
  <si>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</si>
  <si>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</si>
  <si>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</si>
  <si>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</si>
  <si>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</si>
  <si>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</si>
  <si>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</si>
  <si>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</si>
  <si>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</si>
  <si>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</si>
  <si>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</si>
  <si>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</si>
  <si>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</si>
  <si>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</si>
  <si>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</si>
  <si>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</si>
  <si>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</si>
  <si>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</si>
  <si>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</si>
  <si>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</si>
  <si>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</si>
  <si>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</si>
  <si>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</si>
  <si>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</si>
  <si>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</si>
  <si>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</si>
  <si>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</si>
  <si>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</si>
  <si>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</si>
  <si>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</si>
  <si>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</si>
  <si>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</si>
  <si>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</si>
  <si>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</si>
  <si>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</si>
  <si>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</si>
  <si>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</si>
  <si>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</si>
  <si>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</si>
  <si>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</si>
  <si>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</si>
  <si>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</si>
  <si>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</si>
  <si>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</si>
  <si>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</si>
  <si>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</si>
  <si>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</si>
  <si>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</si>
  <si>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</si>
  <si>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</si>
  <si>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</si>
  <si>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</si>
  <si>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</si>
  <si>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</si>
  <si>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</si>
  <si>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</si>
  <si>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</si>
  <si>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</si>
  <si>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</si>
  <si>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</si>
  <si>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</si>
  <si>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</si>
  <si>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</si>
  <si>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</si>
  <si>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</si>
  <si>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</si>
  <si>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</si>
  <si>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</si>
  <si>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</si>
  <si>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</si>
  <si>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</si>
  <si>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</si>
  <si>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</si>
  <si>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</si>
  <si>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</si>
  <si>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</si>
  <si>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</si>
  <si>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</si>
  <si>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</si>
  <si>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</si>
  <si>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</si>
  <si>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</si>
  <si>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</si>
  <si>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</si>
  <si>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</si>
  <si>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</si>
  <si>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</si>
  <si>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</si>
  <si>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</si>
  <si>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</si>
  <si>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</si>
  <si>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</si>
  <si>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</si>
  <si>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</si>
  <si>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</si>
  <si>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</si>
  <si>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</si>
  <si>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</si>
  <si>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</si>
  <si>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</si>
  <si>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</si>
  <si>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</si>
  <si>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</si>
  <si>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</si>
  <si>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</si>
  <si>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</si>
  <si>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</si>
  <si>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</si>
  <si>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</si>
  <si>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</si>
  <si>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</si>
  <si>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</si>
  <si>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</si>
  <si>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</si>
  <si>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</si>
  <si>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</si>
  <si>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</si>
  <si>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</si>
  <si>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</si>
  <si>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</si>
  <si>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</si>
  <si>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</si>
  <si>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</si>
  <si>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</si>
  <si>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</si>
  <si>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</si>
  <si>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</si>
  <si>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</si>
  <si>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</si>
  <si>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</si>
  <si>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</si>
  <si>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</si>
  <si>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</si>
  <si>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</si>
  <si>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</si>
  <si>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</si>
  <si>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</si>
  <si>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</si>
  <si>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</si>
  <si>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</si>
  <si>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</si>
  <si>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</si>
  <si>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</si>
  <si>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</si>
  <si>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</si>
  <si>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</si>
  <si>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</si>
  <si>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</si>
  <si>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</si>
  <si>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</si>
  <si>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</si>
  <si>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</si>
  <si>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</si>
  <si>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</si>
  <si>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</si>
  <si>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</si>
  <si>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</si>
  <si>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</si>
  <si>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</si>
  <si>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</si>
  <si>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</si>
  <si>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</si>
  <si>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</si>
  <si>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</si>
  <si>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</si>
  <si>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</si>
  <si>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</si>
  <si>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</si>
  <si>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</si>
  <si>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</si>
  <si>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</si>
  <si>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</si>
  <si>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</si>
  <si>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</si>
  <si>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</si>
  <si>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</si>
  <si>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</si>
  <si>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</si>
  <si>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</si>
  <si>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</si>
  <si>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</si>
  <si>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</si>
  <si>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</si>
  <si>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</si>
  <si>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</si>
  <si>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</si>
  <si>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</si>
  <si>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</si>
  <si>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</si>
  <si>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</si>
  <si>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</si>
  <si>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</si>
  <si>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</si>
  <si>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</si>
  <si>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</si>
  <si>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</si>
  <si>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</si>
  <si>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</si>
  <si>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</si>
  <si>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</si>
  <si>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</si>
  <si>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</si>
  <si>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</si>
  <si>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</si>
  <si>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</si>
  <si>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</si>
  <si>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</si>
  <si>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</si>
  <si>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</si>
  <si>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</si>
  <si>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</si>
  <si>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</si>
  <si>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</si>
  <si>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</si>
  <si>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</si>
  <si>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</si>
  <si>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</si>
  <si>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</si>
  <si>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</si>
  <si>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</si>
  <si>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</si>
  <si>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</si>
  <si>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</si>
  <si>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</si>
  <si>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</si>
  <si>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</si>
  <si>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</si>
  <si>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</si>
  <si>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</si>
  <si>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</si>
  <si>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</si>
  <si>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</si>
  <si>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</si>
  <si>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</si>
  <si>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</si>
  <si>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</si>
  <si>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</si>
  <si>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</si>
  <si>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</si>
  <si>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</si>
  <si>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</si>
  <si>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</si>
  <si>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</si>
  <si>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</si>
  <si>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</si>
  <si>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</si>
  <si>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</si>
  <si>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</si>
  <si>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</si>
  <si>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</si>
  <si>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</si>
  <si>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</si>
  <si>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</si>
  <si>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</si>
  <si>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</si>
  <si>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</si>
  <si>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</si>
  <si>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</si>
  <si>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</si>
  <si>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</si>
  <si>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</si>
  <si>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</si>
  <si>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</si>
  <si>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</si>
  <si>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</si>
  <si>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</si>
  <si>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</si>
  <si>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</si>
  <si>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</si>
  <si>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</si>
  <si>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</si>
  <si>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</si>
  <si>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</si>
  <si>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</si>
  <si>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</si>
  <si>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</si>
  <si>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</si>
  <si>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</si>
  <si>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</si>
  <si>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</si>
  <si>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</si>
  <si>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</si>
  <si>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</si>
  <si>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</si>
  <si>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</si>
  <si>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</si>
  <si>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</si>
  <si>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</si>
  <si>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</si>
  <si>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</si>
  <si>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</si>
  <si>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</si>
  <si>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</si>
  <si>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</si>
  <si>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</si>
  <si>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</si>
  <si>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</si>
  <si>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</si>
  <si>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</si>
  <si>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</si>
  <si>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</si>
  <si>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</si>
  <si>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</si>
  <si>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</si>
  <si>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</si>
  <si>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</si>
  <si>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</si>
  <si>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</si>
  <si>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</si>
  <si>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</si>
  <si>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</si>
  <si>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</si>
  <si>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</si>
  <si>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</si>
  <si>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</si>
  <si>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</si>
  <si>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</si>
  <si>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</si>
  <si>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</si>
  <si>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</si>
  <si>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</si>
  <si>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</si>
  <si>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</si>
  <si>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</si>
  <si>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</si>
  <si>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</si>
  <si>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</si>
  <si>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</si>
  <si>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</si>
  <si>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</si>
  <si>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</si>
  <si>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</si>
  <si>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</si>
  <si>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</si>
  <si>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</si>
  <si>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</si>
  <si>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</si>
  <si>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</si>
  <si>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</si>
  <si>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</si>
  <si>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</si>
  <si>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</si>
  <si>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</si>
  <si>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</si>
  <si>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</si>
  <si>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</si>
  <si>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</si>
  <si>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</si>
  <si>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</si>
  <si>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</si>
  <si>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</si>
  <si>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</si>
  <si>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</si>
  <si>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</si>
  <si>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</si>
  <si>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</si>
  <si>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</si>
  <si>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</si>
  <si>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</si>
  <si>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</si>
  <si>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</si>
  <si>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</si>
  <si>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</si>
  <si>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</si>
  <si>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</si>
  <si>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</si>
  <si>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</si>
  <si>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</si>
  <si>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</si>
  <si>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</si>
  <si>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</si>
  <si>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</si>
  <si>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</si>
  <si>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</si>
  <si>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</si>
  <si>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</si>
  <si>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</si>
  <si>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</si>
  <si>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</si>
  <si>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</si>
  <si>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</si>
  <si>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</si>
  <si>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</si>
  <si>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</si>
  <si>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</si>
  <si>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</si>
  <si>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</si>
  <si>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</si>
  <si>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</si>
  <si>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</si>
  <si>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</si>
  <si>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</si>
  <si>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</si>
  <si>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</si>
  <si>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</si>
  <si>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</si>
  <si>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</si>
  <si>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</si>
  <si>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</si>
  <si>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</si>
  <si>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</si>
  <si>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</si>
  <si>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</si>
  <si>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</si>
  <si>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</si>
  <si>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</si>
  <si>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</si>
  <si>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</si>
  <si>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</si>
  <si>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</si>
  <si>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</si>
  <si>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</si>
  <si>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</si>
  <si>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</si>
  <si>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</si>
  <si>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</si>
  <si>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</si>
  <si>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</si>
  <si>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</si>
  <si>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</si>
  <si>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</si>
  <si>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</si>
  <si>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</si>
  <si>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</si>
  <si>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</si>
  <si>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</si>
  <si>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</si>
  <si>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</si>
  <si>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</si>
  <si>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</si>
  <si>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</si>
  <si>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</si>
  <si>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</si>
  <si>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</si>
  <si>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</si>
  <si>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</si>
  <si>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</si>
  <si>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</si>
  <si>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</si>
  <si>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</si>
  <si>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</si>
  <si>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</si>
  <si>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</si>
  <si>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</si>
  <si>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</si>
  <si>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</si>
  <si>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</si>
  <si>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</si>
  <si>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</si>
  <si>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</si>
  <si>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</si>
  <si>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</si>
  <si>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</si>
  <si>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</si>
  <si>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</si>
  <si>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</si>
  <si>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</si>
  <si>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</si>
  <si>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</si>
  <si>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</si>
  <si>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</si>
  <si>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</si>
  <si>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</si>
  <si>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</si>
  <si>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</si>
  <si>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</si>
  <si>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</si>
  <si>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</si>
  <si>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</si>
  <si>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</si>
  <si>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</si>
  <si>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</si>
  <si>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</si>
  <si>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</si>
  <si>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</si>
  <si>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</si>
  <si>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</si>
  <si>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</si>
  <si>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</si>
  <si>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</si>
  <si>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</si>
  <si>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</si>
  <si>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</si>
  <si>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</si>
  <si>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</si>
  <si>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</si>
  <si>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</si>
  <si>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</si>
  <si>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</si>
  <si>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</si>
  <si>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</si>
  <si>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</si>
  <si>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</si>
  <si>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</si>
  <si>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</si>
  <si>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</si>
  <si>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</si>
  <si>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</si>
  <si>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</si>
  <si>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</si>
  <si>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</si>
  <si>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</si>
  <si>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</si>
  <si>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</si>
  <si>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</si>
  <si>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</si>
  <si>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</si>
  <si>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</si>
  <si>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</si>
  <si>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</si>
  <si>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</si>
  <si>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</si>
  <si>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</si>
  <si>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</si>
  <si>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</si>
  <si>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</si>
  <si>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</si>
  <si>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</si>
  <si>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</si>
  <si>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</si>
  <si>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</si>
  <si>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</si>
  <si>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</si>
  <si>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</si>
  <si>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</si>
  <si>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</si>
  <si>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</si>
  <si>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</si>
  <si>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</si>
  <si>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</si>
  <si>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</si>
  <si>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</si>
  <si>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</si>
  <si>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</si>
  <si>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</si>
  <si>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</si>
  <si>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</si>
  <si>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</si>
  <si>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</si>
  <si>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</si>
  <si>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</si>
  <si>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</si>
  <si>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</si>
  <si>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</si>
  <si>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</si>
  <si>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</si>
  <si>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</si>
  <si>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</si>
  <si>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</si>
  <si>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</si>
  <si>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</si>
  <si>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</si>
  <si>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</si>
  <si>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</si>
  <si>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</si>
  <si>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</si>
  <si>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</si>
  <si>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</si>
  <si>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</si>
  <si>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</si>
  <si>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</si>
  <si>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</si>
  <si>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</si>
  <si>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</si>
  <si>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</si>
  <si>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</si>
  <si>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</si>
  <si>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</si>
  <si>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</si>
  <si>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</si>
  <si>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</si>
  <si>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</si>
  <si>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</si>
  <si>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</si>
  <si>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</si>
  <si>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</si>
  <si>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</si>
  <si>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</si>
  <si>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</si>
  <si>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</si>
  <si>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</si>
  <si>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</si>
  <si>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</si>
  <si>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</si>
  <si>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</si>
  <si>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</si>
  <si>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</si>
  <si>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</si>
  <si>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</si>
  <si>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</si>
  <si>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</si>
  <si>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</si>
  <si>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</si>
  <si>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</si>
  <si>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</si>
  <si>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</si>
  <si>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</si>
  <si>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</si>
  <si>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</si>
  <si>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</si>
  <si>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</si>
  <si>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</si>
  <si>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</si>
  <si>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</si>
  <si>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</si>
  <si>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</si>
  <si>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</si>
  <si>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</si>
  <si>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</si>
  <si>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</si>
  <si>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</si>
  <si>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</si>
  <si>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</si>
  <si>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</si>
  <si>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</si>
  <si>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</si>
  <si>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</si>
  <si>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</si>
  <si>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</si>
  <si>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</si>
  <si>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</si>
  <si>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</si>
  <si>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</si>
  <si>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</si>
  <si>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</si>
  <si>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</si>
  <si>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</si>
  <si>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</si>
  <si>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</si>
  <si>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</si>
  <si>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</si>
  <si>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</si>
  <si>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</si>
  <si>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</si>
  <si>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</si>
  <si>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</si>
  <si>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</si>
  <si>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</si>
  <si>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</si>
  <si>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</si>
  <si>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</si>
  <si>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</si>
  <si>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</si>
  <si>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</si>
  <si>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</si>
  <si>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</si>
  <si>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</si>
  <si>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</si>
  <si>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</si>
  <si>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</si>
  <si>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</si>
  <si>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</si>
  <si>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</si>
  <si>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</si>
  <si>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</si>
  <si>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</si>
  <si>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</si>
  <si>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</si>
  <si>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</si>
  <si>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</si>
  <si>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</si>
  <si>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</si>
  <si>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</si>
  <si>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</si>
  <si>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</si>
  <si>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</si>
  <si>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</si>
  <si>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</si>
  <si>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</si>
  <si>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</si>
  <si>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</si>
  <si>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</si>
  <si>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</si>
  <si>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</si>
  <si>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</si>
  <si>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</si>
  <si>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</si>
  <si>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</si>
  <si>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</si>
  <si>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</si>
  <si>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</si>
  <si>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</si>
  <si>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</si>
  <si>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</si>
  <si>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</si>
  <si>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</si>
  <si>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</si>
  <si>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</si>
  <si>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</si>
  <si>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</si>
  <si>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</si>
  <si>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</si>
  <si>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</si>
  <si>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</si>
  <si>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</si>
  <si>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</si>
  <si>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</si>
  <si>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</si>
  <si>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</si>
  <si>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</si>
  <si>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</si>
  <si>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</si>
  <si>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</si>
  <si>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</si>
  <si>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</si>
  <si>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</si>
  <si>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</si>
  <si>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</si>
  <si>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</si>
  <si>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</si>
  <si>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</si>
  <si>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</si>
  <si>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</si>
  <si>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</si>
  <si>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</si>
  <si>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</si>
  <si>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</si>
  <si>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</si>
  <si>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</si>
  <si>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</si>
  <si>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</si>
  <si>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</si>
  <si>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</si>
  <si>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</si>
  <si>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</si>
  <si>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</si>
  <si>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</si>
  <si>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</si>
  <si>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</si>
  <si>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</si>
  <si>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</si>
  <si>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</si>
  <si>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</si>
  <si>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</si>
  <si>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</si>
  <si>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</si>
  <si>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</si>
  <si>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</si>
  <si>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</si>
  <si>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</si>
  <si>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</si>
  <si>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</si>
  <si>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</si>
  <si>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</si>
  <si>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</si>
  <si>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</si>
  <si>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</si>
  <si>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</si>
  <si>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</si>
  <si>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</si>
  <si>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</si>
  <si>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</si>
  <si>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</si>
  <si>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</si>
  <si>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</si>
  <si>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</si>
  <si>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</si>
  <si>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</si>
  <si>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</si>
  <si>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</si>
  <si>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</si>
  <si>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</si>
  <si>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</si>
  <si>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</si>
  <si>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</si>
  <si>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</si>
  <si>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</si>
  <si>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</si>
  <si>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</si>
  <si>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</si>
  <si>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</si>
  <si>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</si>
  <si>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</si>
  <si>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</si>
  <si>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</si>
  <si>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</si>
  <si>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</si>
  <si>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</si>
  <si>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</si>
  <si>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</si>
  <si>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</si>
  <si>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</si>
  <si>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</si>
  <si>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</si>
  <si>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</si>
  <si>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</si>
  <si>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</si>
  <si>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</si>
  <si>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</si>
  <si>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</si>
  <si>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</si>
  <si>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</si>
  <si>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</si>
  <si>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</si>
  <si>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</si>
  <si>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</si>
  <si>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</si>
  <si>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</si>
  <si>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</si>
  <si>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</si>
  <si>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</si>
  <si>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</si>
  <si>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</si>
  <si>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</si>
  <si>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</si>
  <si>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</si>
  <si>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</si>
  <si>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</si>
  <si>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</si>
  <si>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</si>
  <si>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</si>
  <si>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</si>
  <si>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</si>
  <si>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</si>
  <si>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</si>
  <si>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</si>
  <si>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</si>
  <si>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</si>
  <si>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</si>
  <si>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</si>
  <si>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</si>
  <si>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</si>
  <si>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</si>
  <si>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</si>
  <si>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</si>
  <si>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</si>
  <si>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</si>
  <si>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</si>
  <si>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</si>
  <si>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</si>
  <si>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</si>
  <si>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</si>
  <si>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</si>
  <si>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</si>
  <si>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</si>
  <si>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</si>
  <si>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</si>
  <si>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</si>
  <si>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</si>
  <si>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</si>
  <si>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</si>
  <si>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</si>
  <si>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</si>
  <si>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</si>
  <si>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</si>
  <si>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</si>
  <si>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</si>
  <si>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</si>
  <si>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</si>
  <si>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</si>
  <si>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</si>
  <si>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</si>
  <si>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</si>
  <si>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</si>
  <si>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</si>
  <si>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</si>
  <si>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</si>
  <si>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</si>
  <si>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</si>
  <si>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</si>
  <si>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</si>
  <si>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</si>
  <si>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</si>
  <si>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</si>
  <si>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</si>
  <si>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</si>
  <si>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</si>
  <si>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</si>
  <si>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</si>
  <si>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</si>
  <si>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</si>
  <si>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</si>
  <si>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</si>
  <si>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</si>
  <si>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</si>
  <si>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</si>
  <si>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</si>
  <si>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</si>
  <si>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</si>
  <si>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</si>
  <si>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</si>
  <si>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</si>
  <si>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</si>
  <si>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</si>
  <si>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</si>
  <si>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</si>
  <si>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</si>
  <si>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</si>
  <si>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</si>
  <si>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</si>
  <si>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</si>
  <si>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</si>
  <si>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</si>
  <si>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</si>
  <si>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</si>
  <si>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</si>
  <si>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</si>
  <si>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</si>
  <si>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</si>
  <si>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</si>
  <si>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</si>
  <si>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</si>
  <si>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</si>
  <si>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</si>
  <si>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</si>
  <si>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</si>
  <si>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</si>
  <si>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</si>
  <si>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</si>
  <si>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</si>
  <si>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</si>
  <si>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</si>
  <si>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</si>
  <si>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</si>
  <si>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</si>
  <si>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</si>
  <si>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</si>
  <si>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</si>
  <si>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</si>
  <si>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</si>
  <si>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</si>
  <si>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</si>
  <si>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</si>
  <si>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</si>
  <si>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</si>
  <si>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</si>
  <si>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</si>
  <si>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</si>
  <si>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</si>
  <si>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</si>
  <si>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</si>
  <si>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</si>
  <si>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</si>
  <si>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</si>
  <si>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</si>
  <si>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</si>
  <si>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</si>
  <si>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</si>
  <si>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</si>
  <si>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</si>
  <si>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</si>
  <si>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</si>
  <si>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</si>
  <si>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</si>
  <si>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</si>
  <si>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</si>
  <si>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</si>
  <si>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</si>
  <si>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</si>
  <si>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</si>
  <si>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</si>
  <si>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</si>
  <si>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</si>
  <si>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</si>
  <si>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</si>
  <si>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</si>
  <si>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</si>
  <si>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</si>
  <si>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</si>
  <si>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</si>
  <si>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</si>
  <si>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</si>
  <si>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</si>
  <si>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</si>
  <si>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</si>
  <si>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</si>
  <si>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</si>
  <si>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</si>
  <si>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</si>
  <si>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</si>
  <si>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</si>
  <si>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</si>
  <si>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</si>
  <si>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</si>
  <si>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</si>
  <si>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</si>
  <si>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</si>
  <si>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</si>
  <si>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</si>
  <si>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</si>
  <si>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</si>
  <si>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</si>
  <si>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</si>
  <si>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</si>
  <si>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</si>
  <si>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</si>
  <si>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</si>
  <si>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</si>
  <si>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</si>
  <si>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</si>
  <si>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</si>
  <si>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</si>
  <si>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</si>
  <si>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</si>
  <si>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</si>
  <si>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</si>
  <si>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</si>
  <si>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</si>
  <si>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</si>
  <si>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</si>
  <si>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</si>
  <si>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</si>
  <si>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</si>
  <si>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</si>
  <si>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</si>
  <si>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</si>
  <si>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</si>
  <si>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</si>
  <si>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</si>
  <si>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</si>
  <si>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</si>
  <si>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</si>
  <si>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</si>
  <si>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</si>
  <si>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</si>
  <si>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</si>
  <si>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</si>
  <si>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</si>
  <si>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</si>
  <si>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</si>
  <si>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</si>
  <si>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</si>
  <si>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</si>
  <si>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</si>
  <si>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</si>
  <si>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</si>
  <si>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</si>
  <si>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</si>
  <si>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</si>
  <si>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</si>
  <si>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</si>
  <si>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</si>
  <si>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</si>
  <si>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</si>
  <si>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</si>
  <si>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</si>
  <si>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</si>
  <si>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</si>
  <si>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</si>
  <si>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</si>
  <si>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</si>
  <si>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</si>
  <si>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</si>
  <si>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</si>
  <si>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</si>
  <si>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</si>
  <si>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</si>
  <si>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</si>
  <si>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</si>
  <si>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</si>
  <si>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</si>
  <si>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</si>
  <si>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</si>
  <si>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</si>
  <si>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</si>
  <si>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</si>
  <si>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</si>
  <si>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</si>
  <si>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</si>
  <si>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</si>
  <si>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</si>
  <si>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</si>
  <si>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</si>
  <si>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</si>
  <si>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</si>
  <si>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</si>
  <si>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</si>
  <si>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</si>
  <si>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</si>
  <si>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</si>
  <si>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</si>
  <si>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</si>
  <si>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</si>
  <si>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</si>
  <si>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</si>
  <si>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</si>
  <si>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</si>
  <si>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</si>
  <si>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</si>
  <si>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</si>
  <si>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</si>
  <si>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</si>
  <si>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</si>
  <si>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</si>
  <si>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</si>
  <si>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</si>
  <si>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</si>
  <si>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</si>
  <si>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</si>
  <si>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</si>
  <si>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</si>
  <si>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</si>
  <si>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</si>
  <si>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</si>
  <si>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</si>
  <si>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</si>
  <si>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</si>
  <si>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</si>
  <si>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</si>
  <si>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</si>
  <si>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</si>
  <si>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</si>
  <si>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</si>
  <si>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</si>
  <si>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</si>
  <si>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</si>
  <si>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</si>
  <si>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</si>
  <si>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</si>
  <si>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</si>
  <si>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</si>
  <si>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</si>
  <si>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</si>
  <si>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</si>
  <si>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</si>
  <si>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</si>
  <si>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</si>
  <si>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</si>
  <si>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</si>
  <si>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</si>
  <si>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</si>
  <si>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</si>
  <si>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</si>
  <si>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</si>
  <si>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</si>
  <si>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</si>
  <si>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</si>
  <si>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</si>
  <si>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</si>
  <si>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</si>
  <si>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</si>
  <si>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</si>
  <si>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</si>
  <si>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</si>
  <si>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</si>
  <si>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</si>
  <si>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</si>
  <si>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</si>
  <si>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</si>
  <si>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</si>
  <si>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</si>
  <si>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</si>
  <si>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</si>
  <si>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</si>
  <si>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</si>
  <si>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</si>
  <si>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</si>
  <si>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</si>
  <si>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</si>
  <si>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</si>
  <si>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</si>
  <si>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</si>
  <si>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</si>
  <si>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</si>
  <si>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</si>
  <si>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</si>
  <si>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</si>
  <si>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</si>
  <si>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</si>
  <si>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</si>
  <si>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</si>
  <si>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</si>
  <si>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</si>
  <si>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</si>
  <si>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</si>
  <si>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</si>
  <si>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</si>
  <si>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</si>
  <si>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</si>
  <si>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</si>
  <si>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</si>
  <si>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</si>
  <si>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</si>
  <si>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</si>
  <si>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</si>
  <si>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</si>
  <si>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</si>
  <si>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</si>
  <si>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</si>
  <si>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</si>
  <si>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</si>
  <si>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</si>
  <si>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</si>
  <si>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</si>
  <si>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</si>
  <si>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</si>
  <si>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</si>
  <si>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</si>
  <si>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</si>
  <si>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</si>
  <si>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</si>
  <si>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</si>
  <si>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</si>
  <si>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</si>
  <si>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</si>
  <si>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</si>
  <si>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</si>
  <si>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</si>
  <si>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</si>
  <si>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</si>
  <si>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</si>
  <si>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</si>
  <si>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</si>
  <si>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</si>
  <si>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</si>
  <si>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</si>
  <si>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</si>
  <si>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</si>
  <si>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</si>
  <si>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</si>
  <si>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</si>
  <si>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</si>
  <si>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</si>
  <si>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</si>
  <si>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</si>
  <si>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</si>
  <si>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</si>
  <si>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</si>
  <si>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</si>
  <si>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</si>
  <si>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</si>
  <si>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</si>
  <si>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</si>
  <si>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</si>
  <si>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</si>
  <si>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</si>
  <si>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</si>
  <si>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</si>
  <si>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</si>
  <si>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</si>
  <si>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</si>
  <si>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</si>
  <si>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</si>
  <si>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</si>
  <si>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</si>
  <si>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</si>
  <si>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</si>
  <si>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</si>
  <si>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</si>
  <si>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</si>
  <si>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</si>
  <si>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</si>
  <si>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</si>
  <si>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</si>
  <si>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</si>
  <si>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</si>
  <si>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</si>
  <si>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</si>
  <si>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</si>
  <si>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</si>
  <si>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</si>
  <si>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</si>
  <si>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</si>
  <si>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</si>
  <si>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</si>
  <si>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</si>
  <si>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</si>
  <si>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</si>
  <si>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</si>
  <si>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</si>
  <si>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</si>
  <si>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</si>
  <si>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</si>
  <si>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</si>
  <si>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</si>
  <si>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</si>
  <si>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</si>
  <si>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</si>
  <si>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</si>
  <si>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</si>
  <si>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</si>
  <si>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</si>
  <si>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</si>
  <si>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</si>
  <si>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</si>
  <si>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</si>
  <si>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</si>
  <si>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</si>
  <si>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</si>
  <si>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</si>
  <si>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</si>
  <si>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</si>
  <si>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</si>
  <si>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</si>
  <si>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</si>
  <si>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</si>
  <si>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</si>
  <si>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</si>
  <si>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</si>
  <si>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</si>
  <si>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</si>
  <si>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</si>
  <si>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</si>
  <si>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</si>
  <si>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</si>
  <si>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</si>
  <si>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</si>
  <si>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</si>
  <si>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</si>
  <si>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</si>
  <si>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</si>
  <si>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</si>
  <si>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</si>
  <si>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</si>
  <si>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</si>
  <si>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</si>
  <si>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</si>
  <si>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</si>
  <si>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</si>
  <si>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</si>
  <si>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</si>
  <si>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</si>
  <si>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</si>
  <si>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</si>
  <si>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</si>
  <si>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</si>
  <si>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</si>
  <si>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</si>
  <si>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</si>
  <si>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</si>
  <si>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</si>
  <si>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</si>
  <si>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</si>
  <si>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</si>
  <si>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</si>
  <si>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</si>
  <si>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</si>
  <si>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</si>
  <si>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</si>
  <si>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</si>
  <si>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</si>
  <si>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</si>
  <si>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</si>
  <si>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</si>
  <si>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</si>
  <si>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</si>
  <si>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</si>
  <si>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</si>
  <si>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</si>
  <si>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</si>
  <si>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</si>
  <si>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</si>
  <si>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</si>
  <si>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</si>
  <si>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</si>
  <si>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</si>
  <si>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</si>
  <si>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</si>
  <si>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</si>
  <si>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</si>
  <si>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</si>
  <si>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</si>
  <si>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</si>
  <si>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</si>
  <si>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</si>
  <si>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</si>
  <si>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</si>
  <si>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</si>
  <si>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</si>
  <si>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</si>
  <si>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</si>
  <si>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</si>
  <si>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</si>
  <si>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</si>
  <si>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</si>
  <si>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</si>
  <si>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</si>
  <si>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</si>
  <si>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</si>
  <si>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</si>
  <si>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</si>
  <si>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</si>
  <si>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</si>
  <si>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</si>
  <si>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</si>
  <si>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</si>
  <si>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</si>
  <si>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</si>
  <si>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</si>
  <si>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</si>
  <si>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</si>
  <si>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</si>
  <si>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</si>
  <si>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</si>
  <si>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</si>
  <si>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</si>
  <si>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</si>
  <si>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</si>
  <si>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</si>
  <si>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</si>
  <si>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</si>
  <si>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</si>
  <si>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</si>
  <si>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</si>
  <si>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</si>
  <si>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</si>
  <si>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</si>
  <si>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</si>
  <si>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</si>
  <si>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</si>
  <si>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</si>
  <si>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</si>
  <si>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</si>
  <si>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</si>
  <si>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</si>
  <si>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</si>
  <si>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</si>
  <si>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</si>
  <si>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</si>
  <si>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</si>
  <si>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</si>
  <si>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</si>
  <si>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</si>
  <si>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</si>
  <si>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</si>
  <si>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</si>
  <si>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</si>
  <si>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</si>
  <si>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</si>
  <si>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</si>
  <si>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</si>
  <si>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</si>
  <si>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</si>
  <si>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</si>
  <si>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</si>
  <si>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</si>
  <si>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</si>
  <si>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</si>
  <si>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</si>
  <si>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</si>
  <si>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</si>
  <si>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</si>
  <si>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</si>
  <si>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</si>
  <si>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</si>
  <si>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</si>
  <si>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</si>
  <si>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</si>
  <si>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</si>
  <si>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</si>
  <si>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</si>
  <si>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</si>
  <si>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</si>
  <si>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</si>
  <si>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</si>
  <si>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</si>
  <si>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</si>
  <si>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</si>
  <si>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</si>
  <si>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</si>
  <si>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</si>
  <si>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</si>
  <si>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</si>
  <si>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</si>
  <si>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</si>
  <si>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</si>
  <si>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</si>
  <si>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</si>
  <si>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</si>
  <si>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</si>
  <si>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</si>
  <si>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</si>
  <si>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</si>
  <si>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</si>
  <si>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</si>
  <si>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</si>
  <si>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</si>
  <si>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</si>
  <si>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</si>
  <si>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</si>
  <si>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</si>
  <si>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</si>
  <si>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</si>
  <si>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</si>
  <si>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</si>
  <si>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</si>
  <si>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</si>
  <si>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</si>
  <si>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</si>
  <si>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</si>
  <si>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</si>
  <si>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</si>
  <si>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</si>
  <si>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</si>
  <si>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</si>
  <si>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</si>
  <si>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</si>
  <si>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</si>
  <si>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</si>
  <si>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</si>
  <si>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</si>
  <si>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</si>
  <si>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</si>
  <si>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</si>
  <si>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</si>
  <si>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</si>
  <si>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</si>
  <si>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</si>
  <si>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</si>
  <si>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</si>
  <si>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</si>
  <si>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</si>
  <si>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</si>
  <si>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</si>
  <si>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</si>
  <si>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</si>
  <si>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</si>
  <si>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</si>
  <si>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</si>
  <si>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</si>
  <si>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</si>
  <si>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</si>
  <si>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</si>
  <si>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</si>
  <si>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</si>
  <si>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</si>
  <si>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</si>
  <si>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</si>
  <si>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</si>
  <si>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</si>
  <si>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</si>
  <si>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</si>
  <si>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</si>
  <si>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</si>
  <si>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</si>
  <si>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</si>
  <si>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</si>
  <si>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</si>
  <si>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</si>
  <si>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</si>
  <si>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</si>
  <si>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</si>
  <si>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</si>
  <si>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</si>
  <si>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</si>
  <si>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</si>
  <si>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</si>
  <si>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</si>
  <si>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</si>
  <si>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</si>
  <si>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</si>
  <si>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</si>
  <si>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</si>
  <si>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</si>
  <si>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</si>
  <si>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</si>
  <si>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</si>
  <si>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</si>
  <si>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</si>
  <si>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</si>
  <si>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</si>
  <si>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</si>
  <si>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</si>
  <si>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</si>
  <si>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</si>
  <si>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</si>
  <si>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</si>
  <si>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</si>
  <si>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</si>
  <si>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</si>
  <si>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</si>
  <si>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</si>
  <si>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</si>
  <si>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</si>
  <si>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</si>
  <si>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</si>
  <si>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</si>
  <si>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</si>
  <si>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</si>
  <si>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</si>
  <si>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</si>
  <si>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</si>
  <si>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</si>
  <si>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</si>
  <si>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</si>
  <si>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</si>
  <si>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</si>
  <si>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</si>
  <si>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</si>
  <si>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</si>
  <si>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</si>
  <si>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</si>
  <si>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</si>
  <si>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</si>
  <si>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</si>
  <si>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</si>
  <si>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</si>
  <si>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</si>
  <si>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</si>
  <si>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</si>
  <si>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</si>
  <si>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</si>
  <si>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</si>
  <si>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</si>
  <si>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</si>
  <si>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</si>
  <si>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</si>
  <si>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</si>
  <si>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</si>
  <si>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</si>
  <si>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</si>
  <si>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</si>
  <si>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</si>
  <si>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</si>
  <si>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</si>
  <si>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</si>
  <si>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</si>
  <si>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</si>
  <si>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</si>
  <si>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</si>
  <si>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</si>
  <si>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</si>
  <si>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</si>
  <si>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</si>
  <si>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</si>
  <si>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</si>
  <si>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</si>
  <si>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</si>
  <si>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</si>
  <si>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</si>
  <si>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</si>
  <si>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</si>
  <si>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</si>
  <si>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</si>
  <si>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</si>
  <si>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</si>
  <si>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</si>
  <si>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</si>
  <si>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</si>
  <si>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</si>
  <si>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</si>
  <si>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</si>
  <si>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</si>
  <si>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</si>
  <si>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</si>
  <si>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</si>
  <si>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</si>
  <si>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</si>
  <si>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</si>
  <si>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</si>
  <si>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</si>
  <si>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</si>
  <si>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</si>
  <si>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</si>
  <si>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</si>
  <si>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</si>
  <si>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</si>
  <si>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</si>
  <si>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</si>
  <si>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</si>
  <si>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</si>
  <si>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</si>
  <si>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</si>
  <si>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</si>
  <si>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</si>
  <si>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</si>
  <si>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</si>
  <si>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</si>
  <si>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</si>
  <si>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</si>
  <si>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</si>
  <si>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</si>
  <si>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</si>
  <si>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</si>
  <si>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</si>
  <si>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</si>
  <si>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</si>
  <si>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</si>
  <si>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</si>
  <si>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</si>
  <si>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</si>
  <si>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</si>
  <si>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</si>
  <si>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</si>
  <si>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</si>
  <si>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</si>
  <si>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</si>
  <si>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</si>
  <si>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</si>
  <si>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</si>
  <si>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</si>
  <si>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</si>
  <si>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</si>
  <si>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</si>
  <si>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</si>
  <si>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</si>
  <si>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</si>
  <si>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</si>
  <si>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</si>
  <si>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</si>
  <si>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</si>
  <si>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</si>
  <si>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</si>
  <si>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</si>
  <si>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</si>
  <si>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</si>
  <si>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</si>
  <si>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</si>
  <si>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</si>
  <si>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</si>
  <si>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</si>
  <si>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</si>
  <si>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</si>
  <si>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</si>
  <si>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</si>
  <si>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</si>
  <si>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</si>
  <si>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</si>
  <si>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</si>
  <si>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</si>
  <si>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</si>
  <si>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</si>
  <si>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</si>
  <si>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</si>
  <si>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</si>
  <si>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</si>
  <si>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</si>
  <si>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</si>
  <si>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</si>
  <si>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</si>
  <si>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</si>
  <si>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</si>
  <si>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</si>
  <si>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</si>
  <si>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</si>
  <si>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</si>
  <si>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</si>
  <si>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</si>
  <si>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</si>
  <si>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</si>
  <si>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</si>
  <si>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</si>
  <si>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</si>
  <si>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</si>
  <si>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</si>
  <si>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</si>
  <si>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</si>
  <si>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</si>
  <si>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</si>
  <si>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</si>
  <si>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</si>
  <si>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</si>
  <si>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</si>
  <si>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</si>
  <si>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</si>
  <si>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</si>
  <si>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</si>
  <si>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</si>
  <si>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</si>
  <si>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</si>
  <si>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</si>
  <si>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</si>
  <si>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</si>
  <si>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</si>
  <si>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</si>
  <si>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</si>
  <si>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</si>
  <si>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</si>
  <si>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</si>
  <si>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</si>
  <si>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</si>
  <si>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</si>
  <si>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</si>
  <si>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</si>
  <si>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</si>
  <si>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</si>
  <si>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</si>
  <si>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</si>
  <si>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</si>
  <si>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</si>
  <si>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</si>
  <si>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</si>
  <si>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</si>
  <si>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</si>
  <si>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</si>
  <si>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</si>
  <si>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</si>
  <si>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</si>
  <si>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</si>
  <si>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</si>
  <si>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</si>
  <si>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</si>
  <si>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</si>
  <si>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</si>
  <si>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</si>
  <si>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</si>
  <si>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</si>
  <si>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</si>
  <si>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</si>
  <si>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</si>
  <si>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</si>
  <si>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</si>
  <si>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</si>
  <si>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</si>
  <si>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</si>
  <si>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</si>
  <si>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</si>
  <si>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</si>
  <si>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</si>
  <si>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</si>
  <si>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</si>
  <si>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</si>
  <si>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</si>
  <si>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</si>
  <si>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</si>
  <si>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</si>
  <si>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</si>
  <si>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</si>
  <si>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</si>
  <si>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</si>
  <si>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</si>
  <si>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</si>
  <si>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</si>
  <si>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</si>
  <si>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</si>
  <si>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</si>
  <si>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</si>
  <si>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</si>
  <si>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</si>
  <si>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</si>
  <si>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</si>
  <si>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</si>
  <si>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</si>
  <si>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</si>
  <si>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</si>
  <si>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</si>
  <si>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</si>
  <si>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</si>
  <si>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</si>
  <si>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</si>
  <si>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</si>
  <si>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</si>
  <si>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</si>
  <si>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</si>
  <si>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</si>
  <si>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</si>
  <si>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</si>
  <si>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</si>
  <si>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</si>
  <si>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</si>
  <si>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</si>
  <si>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</si>
  <si>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</si>
  <si>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</si>
  <si>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</si>
  <si>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</si>
  <si>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</si>
  <si>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</si>
  <si>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</si>
  <si>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</si>
  <si>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</si>
  <si>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</si>
  <si>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</si>
  <si>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</si>
  <si>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</si>
  <si>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</si>
  <si>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</si>
  <si>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</si>
  <si>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</si>
  <si>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</si>
  <si>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</si>
  <si>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</si>
  <si>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</si>
  <si>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</si>
  <si>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</si>
  <si>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</si>
  <si>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</si>
  <si>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</si>
  <si>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</si>
  <si>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</si>
  <si>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</si>
  <si>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</si>
  <si>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</si>
  <si>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</si>
  <si>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</si>
  <si>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</si>
  <si>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</si>
  <si>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</si>
  <si>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</si>
  <si>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</si>
  <si>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</si>
  <si>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</si>
  <si>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</si>
  <si>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</si>
  <si>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</si>
  <si>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</si>
  <si>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</si>
  <si>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</si>
  <si>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</si>
  <si>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</si>
  <si>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</si>
  <si>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</si>
  <si>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</si>
  <si>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</si>
  <si>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</si>
  <si>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</si>
  <si>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</si>
  <si>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</si>
  <si>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</si>
  <si>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</si>
  <si>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</si>
  <si>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</si>
  <si>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</si>
  <si>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</si>
  <si>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</si>
  <si>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</si>
  <si>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</si>
  <si>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</si>
  <si>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</si>
  <si>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</si>
  <si>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</si>
  <si>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</si>
  <si>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</si>
  <si>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</si>
  <si>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</si>
  <si>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</si>
  <si>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</si>
  <si>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</si>
  <si>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</si>
  <si>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</si>
  <si>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</si>
  <si>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</si>
  <si>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</si>
  <si>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</si>
  <si>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</si>
  <si>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</si>
  <si>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</si>
  <si>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</si>
  <si>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</si>
  <si>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</si>
  <si>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</si>
  <si>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</si>
  <si>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</si>
  <si>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</si>
  <si>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</si>
  <si>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</si>
  <si>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</si>
  <si>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</si>
  <si>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</si>
  <si>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</si>
  <si>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</si>
  <si>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</si>
  <si>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</si>
  <si>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</si>
  <si>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</si>
  <si>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</si>
  <si>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</si>
  <si>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</si>
  <si>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</si>
  <si>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</si>
  <si>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</si>
  <si>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</si>
  <si>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</si>
  <si>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</si>
  <si>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</si>
  <si>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</si>
  <si>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</si>
  <si>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</si>
  <si>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</si>
  <si>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</si>
  <si>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</si>
  <si>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</si>
  <si>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</si>
  <si>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</si>
  <si>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</si>
  <si>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</si>
  <si>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</si>
  <si>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</si>
  <si>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</si>
  <si>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</si>
  <si>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</si>
  <si>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</si>
  <si>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</si>
  <si>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</si>
  <si>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</si>
  <si>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</si>
  <si>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</si>
  <si>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</si>
  <si>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</si>
  <si>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</si>
  <si>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</si>
  <si>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</si>
  <si>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</si>
  <si>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</si>
  <si>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</si>
  <si>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</si>
  <si>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</si>
  <si>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</si>
  <si>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</si>
  <si>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</si>
  <si>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</si>
  <si>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</si>
  <si>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</si>
  <si>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</si>
  <si>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</si>
  <si>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</si>
  <si>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</si>
  <si>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</si>
  <si>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</si>
  <si>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</si>
  <si>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</si>
  <si>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</si>
  <si>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</si>
  <si>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</si>
  <si>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</si>
  <si>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</si>
  <si>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</si>
  <si>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</si>
  <si>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</si>
  <si>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</si>
  <si>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</si>
  <si>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</si>
  <si>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</si>
  <si>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</si>
  <si>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</si>
  <si>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</si>
  <si>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</si>
  <si>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</si>
  <si>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</si>
  <si>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</si>
  <si>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</si>
  <si>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</si>
  <si>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</si>
  <si>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</si>
  <si>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</si>
  <si>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</si>
  <si>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</si>
  <si>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</si>
  <si>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</si>
  <si>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</si>
  <si>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</si>
  <si>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</si>
  <si>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</si>
  <si>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</si>
  <si>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</si>
  <si>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</si>
  <si>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</si>
  <si>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</si>
  <si>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</si>
  <si>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</si>
  <si>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</si>
  <si>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</si>
  <si>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</si>
  <si>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</si>
  <si>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</si>
  <si>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</si>
  <si>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</si>
  <si>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</si>
  <si>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</si>
  <si>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</si>
  <si>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</si>
  <si>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</si>
  <si>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</si>
  <si>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</si>
  <si>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</si>
  <si>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</si>
  <si>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</si>
  <si>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</si>
  <si>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</si>
  <si>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</si>
  <si>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</si>
  <si>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</si>
  <si>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</si>
  <si>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</si>
  <si>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</si>
  <si>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</si>
  <si>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</si>
  <si>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</si>
  <si>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</si>
  <si>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</si>
  <si>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</si>
  <si>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</si>
  <si>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</si>
  <si>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</si>
  <si>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</si>
  <si>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</si>
  <si>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</si>
  <si>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</si>
  <si>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</si>
  <si>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</si>
  <si>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</si>
  <si>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</si>
  <si>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</si>
  <si>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</si>
  <si>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</si>
  <si>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</si>
  <si>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</si>
  <si>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</si>
  <si>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</si>
  <si>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</si>
  <si>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</si>
  <si>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</si>
  <si>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</si>
  <si>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</si>
  <si>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</si>
  <si>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</si>
  <si>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</si>
  <si>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</si>
  <si>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</si>
  <si>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</si>
  <si>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</si>
  <si>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</si>
  <si>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</si>
  <si>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</si>
  <si>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</si>
  <si>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</si>
  <si>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</si>
  <si>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</si>
  <si>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</si>
  <si>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</si>
  <si>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</si>
  <si>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</si>
  <si>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</si>
  <si>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</si>
  <si>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</si>
  <si>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</si>
  <si>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</si>
  <si>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</si>
  <si>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</si>
  <si>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</si>
  <si>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</si>
  <si>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</si>
  <si>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</si>
  <si>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</si>
  <si>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</si>
  <si>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</si>
  <si>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</si>
  <si>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</si>
  <si>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</si>
  <si>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</si>
  <si>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</si>
  <si>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</si>
  <si>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</si>
  <si>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</si>
  <si>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</si>
  <si>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</si>
  <si>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</si>
  <si>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</si>
  <si>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</si>
  <si>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</si>
  <si>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</si>
  <si>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</si>
  <si>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</si>
  <si>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</si>
  <si>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</si>
  <si>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</si>
  <si>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</si>
  <si>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</si>
  <si>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</si>
  <si>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</si>
  <si>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</si>
  <si>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</si>
  <si>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</si>
  <si>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</si>
  <si>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</si>
  <si>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</si>
  <si>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</si>
  <si>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</si>
  <si>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</si>
  <si>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</si>
  <si>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</si>
  <si>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</si>
  <si>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</si>
  <si>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</si>
  <si>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</si>
  <si>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</si>
  <si>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</si>
  <si>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</si>
  <si>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</si>
  <si>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</si>
  <si>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</si>
  <si>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</si>
  <si>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</si>
  <si>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</si>
  <si>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</si>
  <si>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</si>
  <si>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</si>
  <si>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</si>
  <si>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</si>
  <si>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</si>
  <si>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</si>
  <si>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</si>
  <si>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</si>
  <si>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</si>
  <si>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</si>
  <si>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</si>
  <si>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</si>
  <si>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</si>
  <si>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</si>
  <si>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</si>
  <si>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</si>
  <si>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</si>
  <si>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</si>
  <si>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</si>
  <si>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</si>
  <si>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</si>
  <si>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</si>
  <si>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</si>
  <si>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</si>
  <si>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</si>
  <si>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</si>
  <si>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</si>
  <si>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</si>
  <si>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</si>
  <si>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</si>
  <si>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</si>
  <si>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</si>
  <si>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</si>
  <si>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</si>
  <si>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</si>
  <si>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</si>
  <si>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</si>
  <si>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</si>
  <si>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</si>
  <si>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</si>
  <si>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</si>
  <si>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</si>
  <si>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</si>
  <si>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</si>
  <si>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</si>
  <si>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</si>
  <si>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</si>
  <si>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</si>
  <si>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</si>
  <si>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</si>
  <si>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</si>
  <si>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</si>
  <si>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</si>
  <si>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</si>
  <si>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</si>
  <si>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</si>
  <si>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</si>
  <si>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</si>
  <si>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</si>
  <si>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</si>
  <si>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</si>
  <si>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</si>
  <si>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</si>
  <si>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</si>
  <si>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</si>
  <si>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</si>
  <si>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</si>
  <si>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</si>
  <si>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</si>
  <si>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</si>
  <si>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</si>
  <si>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</si>
  <si>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</si>
  <si>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</si>
  <si>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</si>
  <si>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</si>
  <si>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</si>
  <si>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</si>
  <si>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</si>
  <si>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</si>
  <si>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</si>
  <si>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</si>
  <si>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</si>
  <si>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</si>
  <si>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</si>
  <si>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</si>
  <si>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</si>
  <si>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</si>
  <si>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</si>
  <si>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</si>
  <si>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</si>
  <si>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</si>
  <si>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</si>
  <si>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</si>
  <si>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</si>
  <si>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</si>
  <si>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</si>
  <si>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</si>
  <si>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</si>
  <si>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</si>
  <si>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</si>
  <si>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</si>
  <si>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</si>
  <si>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</si>
  <si>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</si>
  <si>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</si>
  <si>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</si>
  <si>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</si>
  <si>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</si>
  <si>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</si>
  <si>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</si>
  <si>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</si>
  <si>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</si>
  <si>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</si>
  <si>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</si>
  <si>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</si>
  <si>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</si>
  <si>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</si>
  <si>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</si>
  <si>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</si>
  <si>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</si>
  <si>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</si>
  <si>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</si>
  <si>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</si>
  <si>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</si>
  <si>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</si>
  <si>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</si>
  <si>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</si>
  <si>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</si>
  <si>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</si>
  <si>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</si>
  <si>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</si>
  <si>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</si>
  <si>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</si>
  <si>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</si>
  <si>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</si>
  <si>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</si>
  <si>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</si>
  <si>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</si>
  <si>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</si>
  <si>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</si>
  <si>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</si>
  <si>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</si>
  <si>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</si>
  <si>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</si>
  <si>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</si>
  <si>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</si>
  <si>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</si>
  <si>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</si>
  <si>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</si>
  <si>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</si>
  <si>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</si>
  <si>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</si>
  <si>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</si>
  <si>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</si>
  <si>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</si>
  <si>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</si>
  <si>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</si>
  <si>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</si>
  <si>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</si>
  <si>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</si>
  <si>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</si>
  <si>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</si>
  <si>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</si>
  <si>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</si>
  <si>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</si>
  <si>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</si>
  <si>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</si>
  <si>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</si>
  <si>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</si>
  <si>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</si>
  <si>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</si>
  <si>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</si>
  <si>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</si>
  <si>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</si>
  <si>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</si>
  <si>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</si>
  <si>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</si>
  <si>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</si>
  <si>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</si>
  <si>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</si>
  <si>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</si>
  <si>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</si>
  <si>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</si>
  <si>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</si>
  <si>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</si>
  <si>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</si>
  <si>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</si>
  <si>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</si>
  <si>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</si>
  <si>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</si>
  <si>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</si>
  <si>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</si>
  <si>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</si>
  <si>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</si>
  <si>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</si>
  <si>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</si>
  <si>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</si>
  <si>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</si>
  <si>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</si>
  <si>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</si>
  <si>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</si>
  <si>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</si>
  <si>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</si>
  <si>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</si>
  <si>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</si>
  <si>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</si>
  <si>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</si>
  <si>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</si>
  <si>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</si>
  <si>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</si>
  <si>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</si>
  <si>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</si>
  <si>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</si>
  <si>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</si>
  <si>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</si>
  <si>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</si>
  <si>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</si>
  <si>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</si>
  <si>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</si>
  <si>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</si>
  <si>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</si>
  <si>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</si>
  <si>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</si>
  <si>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</si>
  <si>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</si>
  <si>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</si>
  <si>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</si>
  <si>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</si>
  <si>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</si>
  <si>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</si>
  <si>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</si>
  <si>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</si>
  <si>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</si>
  <si>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</si>
  <si>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</si>
  <si>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</si>
  <si>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</si>
  <si>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</si>
  <si>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</si>
  <si>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</si>
  <si>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</si>
  <si>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</si>
  <si>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</si>
  <si>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</si>
  <si>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</si>
  <si>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</si>
  <si>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</si>
  <si>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</si>
  <si>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</si>
  <si>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</si>
  <si>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</si>
  <si>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</si>
  <si>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</si>
  <si>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</si>
  <si>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</si>
  <si>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</si>
  <si>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</si>
  <si>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</si>
  <si>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</si>
  <si>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</si>
  <si>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</si>
  <si>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</si>
  <si>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</si>
  <si>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</si>
  <si>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</si>
  <si>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</si>
  <si>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</si>
  <si>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</si>
  <si>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</si>
  <si>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</si>
  <si>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</si>
  <si>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</si>
  <si>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</si>
  <si>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</si>
  <si>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</si>
  <si>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</si>
  <si>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</si>
  <si>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</si>
  <si>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</si>
  <si>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</si>
  <si>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</si>
  <si>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</si>
  <si>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</si>
  <si>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</si>
  <si>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</si>
  <si>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</si>
  <si>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</si>
  <si>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</si>
  <si>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</si>
  <si>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</si>
  <si>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</si>
  <si>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</si>
  <si>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</si>
  <si>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</si>
  <si>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</si>
  <si>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</si>
  <si>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</si>
  <si>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</si>
  <si>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</si>
  <si>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</si>
  <si>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</si>
  <si>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</si>
  <si>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</si>
  <si>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</si>
  <si>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</si>
  <si>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</si>
  <si>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</si>
  <si>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</si>
  <si>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</si>
  <si>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</si>
  <si>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</si>
  <si>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</si>
  <si>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</si>
  <si>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</si>
  <si>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</si>
  <si>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</si>
  <si>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</si>
  <si>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</si>
  <si>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</si>
  <si>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</si>
  <si>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</si>
  <si>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</si>
  <si>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</si>
  <si>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</si>
  <si>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</si>
  <si>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</si>
  <si>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</si>
  <si>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</si>
  <si>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</si>
  <si>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</si>
  <si>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</si>
  <si>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</si>
  <si>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</si>
  <si>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</si>
  <si>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</si>
  <si>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</si>
  <si>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</si>
  <si>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</si>
  <si>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</si>
  <si>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</si>
  <si>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</si>
  <si>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</si>
  <si>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</si>
  <si>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</si>
  <si>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</si>
  <si>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</si>
  <si>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</si>
  <si>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</si>
  <si>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</si>
  <si>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</si>
  <si>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</si>
  <si>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</si>
  <si>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</si>
  <si>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</si>
  <si>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</si>
  <si>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</si>
  <si>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</si>
  <si>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</si>
  <si>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</si>
  <si>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</si>
  <si>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</si>
  <si>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</si>
  <si>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</si>
  <si>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</si>
  <si>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</si>
  <si>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</si>
  <si>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</si>
  <si>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</si>
  <si>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</si>
  <si>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</si>
  <si>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</si>
  <si>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</si>
  <si>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</si>
  <si>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</si>
  <si>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</si>
  <si>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</si>
  <si>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</si>
  <si>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</si>
  <si>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</si>
  <si>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</si>
  <si>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</si>
  <si>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</si>
  <si>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</si>
  <si>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</si>
  <si>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</si>
  <si>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</si>
  <si>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</si>
  <si>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</si>
  <si>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</si>
  <si>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</si>
  <si>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</si>
  <si>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</si>
  <si>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</si>
  <si>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</si>
  <si>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</si>
  <si>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</si>
  <si>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</si>
  <si>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</si>
  <si>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</si>
  <si>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</si>
  <si>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</si>
  <si>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</si>
  <si>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</si>
  <si>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</si>
  <si>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</si>
  <si>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</si>
  <si>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</si>
  <si>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</si>
  <si>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</si>
  <si>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</si>
  <si>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</si>
  <si>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</si>
  <si>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</si>
  <si>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</si>
  <si>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</si>
  <si>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</si>
  <si>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</si>
  <si>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</si>
  <si>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</si>
  <si>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</si>
  <si>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</si>
  <si>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</si>
  <si>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</si>
  <si>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</si>
  <si>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</si>
  <si>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</si>
  <si>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</si>
  <si>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</si>
  <si>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</si>
  <si>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</si>
  <si>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</si>
  <si>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</si>
  <si>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</si>
  <si>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</si>
  <si>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</si>
  <si>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</si>
  <si>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</si>
  <si>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</si>
  <si>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</si>
  <si>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</si>
  <si>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</si>
  <si>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</si>
  <si>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</si>
  <si>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</si>
  <si>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</si>
  <si>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</si>
  <si>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</si>
  <si>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</si>
  <si>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</si>
  <si>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</si>
  <si>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</si>
  <si>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</si>
  <si>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</si>
  <si>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</si>
  <si>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</si>
  <si>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</si>
  <si>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</si>
  <si>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</si>
  <si>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</si>
  <si>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</si>
  <si>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</si>
  <si>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</si>
  <si>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</si>
  <si>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</si>
  <si>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</si>
  <si>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</si>
  <si>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</si>
  <si>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</si>
  <si>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</si>
  <si>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</si>
  <si>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</si>
  <si>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</si>
  <si>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</si>
  <si>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</si>
  <si>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</si>
  <si>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</si>
  <si>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</si>
  <si>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</si>
  <si>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</si>
  <si>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</si>
  <si>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</si>
  <si>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</si>
  <si>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</si>
  <si>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</si>
  <si>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</si>
  <si>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</si>
  <si>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</si>
  <si>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</si>
  <si>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</si>
  <si>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</si>
  <si>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</si>
  <si>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</si>
  <si>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</si>
  <si>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</si>
  <si>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</si>
  <si>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</si>
  <si>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</si>
  <si>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</si>
  <si>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</si>
  <si>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</si>
  <si>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</si>
  <si>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</si>
  <si>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</si>
  <si>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</si>
  <si>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</si>
  <si>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</si>
  <si>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</si>
  <si>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</si>
  <si>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</si>
  <si>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</si>
  <si>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</si>
  <si>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</si>
  <si>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</si>
  <si>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</si>
  <si>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</si>
  <si>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</si>
  <si>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</si>
  <si>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</si>
  <si>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</si>
  <si>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</si>
  <si>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</si>
  <si>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</si>
  <si>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</si>
  <si>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</si>
  <si>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</si>
  <si>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</si>
  <si>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</si>
  <si>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</si>
  <si>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</si>
  <si>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</si>
  <si>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</si>
  <si>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</si>
  <si>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</si>
  <si>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</si>
  <si>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</si>
  <si>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</si>
  <si>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</si>
  <si>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</si>
  <si>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</si>
  <si>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</si>
  <si>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</si>
  <si>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</si>
  <si>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</si>
  <si>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</si>
  <si>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</si>
  <si>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</si>
  <si>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</si>
  <si>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</si>
  <si>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</si>
  <si>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</si>
  <si>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</si>
  <si>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</si>
  <si>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</si>
  <si>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</si>
  <si>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</si>
  <si>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</si>
  <si>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</si>
  <si>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</si>
  <si>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</si>
  <si>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</si>
  <si>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</si>
  <si>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</si>
  <si>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</si>
  <si>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</si>
  <si>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</si>
  <si>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</si>
  <si>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</si>
  <si>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</si>
  <si>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</si>
  <si>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</si>
  <si>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</si>
  <si>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</si>
  <si>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</si>
  <si>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</si>
  <si>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</si>
  <si>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</si>
  <si>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</si>
  <si>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</si>
  <si>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</si>
  <si>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</si>
  <si>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</si>
  <si>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</si>
  <si>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</si>
  <si>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</si>
  <si>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</si>
  <si>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</si>
  <si>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</si>
  <si>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</si>
  <si>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</si>
  <si>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</si>
  <si>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</si>
  <si>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</si>
  <si>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</si>
  <si>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</si>
  <si>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</si>
  <si>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</si>
  <si>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</si>
  <si>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</si>
  <si>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</si>
  <si>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</si>
  <si>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</si>
  <si>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</si>
  <si>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</si>
  <si>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</si>
  <si>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</si>
  <si>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</si>
  <si>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</si>
  <si>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</si>
  <si>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</si>
  <si>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</si>
  <si>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</si>
  <si>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</si>
  <si>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</si>
  <si>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</si>
  <si>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</si>
  <si>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</si>
  <si>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</si>
  <si>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</si>
  <si>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</si>
  <si>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</si>
  <si>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</si>
  <si>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</si>
  <si>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</si>
  <si>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</si>
  <si>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</si>
  <si>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</si>
  <si>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</si>
  <si>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</si>
  <si>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</si>
  <si>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</si>
  <si>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</si>
  <si>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</si>
  <si>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</si>
  <si>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</si>
  <si>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</si>
  <si>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</si>
  <si>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</si>
  <si>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</si>
  <si>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</si>
  <si>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</si>
  <si>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</si>
  <si>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</si>
  <si>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</si>
  <si>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</si>
  <si>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</si>
  <si>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</si>
  <si>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</si>
  <si>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</si>
  <si>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</si>
  <si>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</si>
  <si>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</si>
  <si>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</si>
  <si>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</si>
  <si>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</si>
  <si>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</si>
  <si>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</si>
  <si>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</si>
  <si>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</si>
  <si>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</si>
  <si>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</si>
  <si>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</si>
  <si>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</si>
  <si>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</si>
  <si>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</si>
  <si>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</si>
  <si>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</si>
  <si>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</si>
  <si>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</si>
  <si>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</si>
  <si>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</si>
  <si>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</si>
  <si>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</si>
  <si>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</si>
  <si>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</si>
  <si>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</si>
  <si>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</si>
  <si>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</si>
  <si>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</si>
  <si>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</si>
  <si>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</si>
  <si>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</si>
  <si>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</si>
  <si>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</si>
  <si>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</si>
  <si>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</si>
  <si>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</si>
  <si>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</si>
  <si>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</si>
  <si>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</si>
  <si>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</si>
  <si>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</si>
  <si>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</si>
  <si>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</si>
  <si>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</si>
  <si>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</si>
  <si>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</si>
  <si>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</si>
  <si>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</si>
  <si>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</si>
  <si>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</si>
  <si>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</si>
  <si>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</si>
  <si>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</si>
  <si>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</si>
  <si>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</si>
  <si>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</si>
  <si>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</si>
  <si>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</si>
  <si>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</si>
  <si>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</si>
  <si>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</si>
  <si>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</si>
  <si>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</si>
  <si>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</si>
  <si>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</si>
  <si>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</si>
  <si>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</si>
  <si>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</si>
  <si>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</si>
  <si>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</si>
  <si>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</si>
  <si>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</si>
  <si>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</si>
  <si>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</si>
  <si>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</si>
  <si>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</si>
  <si>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</si>
  <si>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</si>
  <si>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</si>
  <si>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</si>
  <si>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</si>
  <si>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</si>
  <si>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</si>
  <si>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</si>
  <si>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</si>
  <si>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</si>
  <si>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</si>
  <si>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</si>
  <si>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</si>
  <si>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</si>
  <si>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</si>
  <si>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</si>
  <si>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</si>
  <si>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</si>
  <si>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</si>
  <si>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</si>
  <si>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</si>
  <si>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</si>
  <si>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</si>
  <si>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</si>
  <si>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</si>
  <si>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</si>
  <si>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</si>
  <si>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</si>
  <si>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</si>
  <si>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</si>
  <si>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</si>
  <si>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</si>
  <si>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</si>
  <si>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</si>
  <si>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</si>
  <si>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</si>
  <si>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</si>
  <si>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</si>
  <si>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</si>
  <si>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</si>
  <si>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</si>
  <si>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</si>
  <si>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</si>
  <si>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</si>
  <si>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</si>
  <si>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</si>
  <si>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</si>
  <si>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</si>
  <si>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</si>
  <si>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</si>
  <si>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</si>
  <si>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</si>
  <si>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</si>
  <si>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</si>
  <si>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</si>
  <si>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</si>
  <si>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</si>
  <si>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</si>
  <si>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</si>
  <si>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</si>
  <si>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</si>
  <si>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</si>
  <si>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</si>
  <si>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</si>
  <si>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</si>
  <si>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</si>
  <si>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</si>
  <si>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</si>
  <si>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</si>
  <si>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</si>
  <si>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</si>
  <si>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</si>
  <si>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</si>
  <si>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</si>
  <si>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</si>
  <si>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</si>
  <si>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</si>
  <si>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</si>
  <si>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</si>
  <si>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</si>
  <si>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</si>
  <si>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</si>
  <si>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</si>
  <si>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</si>
  <si>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</si>
  <si>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</si>
  <si>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</si>
  <si>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</si>
  <si>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</si>
  <si>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</si>
  <si>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</si>
  <si>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</si>
  <si>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</si>
  <si>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</si>
  <si>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</si>
  <si>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</si>
  <si>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</si>
  <si>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</si>
  <si>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</si>
  <si>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</si>
  <si>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</si>
  <si>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</si>
  <si>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</si>
  <si>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</si>
  <si>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</si>
  <si>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</si>
  <si>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</si>
  <si>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</si>
  <si>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</si>
  <si>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</si>
  <si>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</si>
  <si>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</si>
  <si>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</si>
  <si>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</si>
  <si>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</si>
  <si>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</si>
  <si>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</si>
  <si>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</si>
  <si>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</si>
  <si>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</si>
  <si>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</si>
  <si>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</si>
  <si>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</si>
  <si>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</si>
  <si>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</si>
  <si>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</si>
  <si>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</si>
  <si>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</si>
  <si>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</si>
  <si>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</si>
  <si>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</si>
  <si>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</si>
  <si>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</si>
  <si>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</si>
  <si>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</si>
  <si>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</si>
  <si>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</si>
  <si>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</si>
  <si>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</si>
  <si>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</si>
  <si>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</si>
  <si>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</si>
  <si>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</si>
  <si>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</si>
  <si>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</si>
  <si>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</si>
  <si>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</si>
  <si>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</si>
  <si>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</si>
  <si>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</si>
  <si>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</si>
  <si>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</si>
  <si>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</si>
  <si>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</si>
  <si>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</si>
  <si>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</si>
  <si>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</si>
  <si>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</si>
  <si>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</si>
  <si>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</si>
  <si>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</si>
  <si>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</si>
  <si>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</si>
  <si>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</si>
  <si>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</si>
  <si>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</si>
  <si>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</si>
  <si>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</si>
  <si>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</si>
  <si>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</si>
  <si>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</si>
  <si>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</si>
  <si>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</si>
  <si>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</si>
  <si>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</si>
  <si>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</si>
  <si>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</si>
  <si>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</si>
  <si>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</si>
  <si>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</si>
  <si>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</si>
  <si>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</si>
  <si>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</si>
  <si>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</si>
  <si>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</si>
  <si>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</si>
  <si>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</si>
  <si>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</si>
  <si>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</si>
  <si>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</si>
  <si>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</si>
  <si>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</si>
  <si>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</si>
  <si>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</si>
  <si>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</si>
  <si>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</si>
  <si>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</si>
  <si>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</si>
  <si>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</si>
  <si>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</si>
  <si>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</si>
  <si>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</si>
  <si>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</si>
  <si>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</si>
  <si>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</si>
  <si>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</si>
  <si>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</si>
  <si>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</si>
  <si>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</si>
  <si>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</si>
  <si>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</si>
  <si>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</si>
  <si>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</si>
  <si>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</si>
  <si>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</si>
  <si>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</si>
  <si>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</si>
  <si>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</si>
  <si>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</si>
  <si>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</si>
  <si>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</si>
  <si>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</si>
  <si>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</si>
  <si>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</si>
  <si>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</si>
  <si>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</si>
  <si>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</si>
  <si>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</si>
  <si>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</si>
  <si>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</si>
  <si>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</si>
  <si>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</si>
  <si>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</si>
  <si>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</si>
  <si>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</si>
  <si>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</si>
  <si>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</si>
  <si>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</si>
  <si>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</si>
  <si>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</si>
  <si>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</si>
  <si>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</si>
  <si>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</si>
  <si>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</si>
  <si>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</si>
  <si>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</si>
  <si>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</si>
  <si>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</si>
  <si>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</si>
  <si>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</si>
  <si>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</si>
  <si>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</si>
  <si>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</si>
  <si>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</si>
  <si>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</si>
  <si>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</si>
  <si>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</si>
  <si>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</si>
  <si>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</si>
  <si>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</si>
  <si>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</si>
  <si>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</si>
  <si>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</si>
  <si>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</si>
  <si>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</si>
  <si>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</si>
  <si>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</si>
  <si>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</si>
  <si>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</si>
  <si>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</si>
  <si>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</si>
  <si>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</si>
  <si>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</si>
  <si>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</si>
  <si>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</si>
  <si>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</si>
  <si>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</si>
  <si>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</si>
  <si>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</si>
  <si>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</si>
  <si>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</si>
  <si>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</si>
  <si>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</si>
  <si>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</si>
  <si>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</si>
  <si>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</si>
  <si>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</si>
  <si>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</si>
  <si>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</si>
  <si>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</si>
  <si>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</si>
  <si>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</si>
  <si>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</si>
  <si>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</si>
  <si>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</si>
  <si>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</si>
  <si>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</si>
  <si>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</si>
  <si>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</si>
  <si>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</si>
  <si>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</si>
  <si>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</si>
  <si>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</si>
  <si>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</si>
  <si>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</si>
  <si>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</si>
  <si>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</si>
  <si>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</si>
  <si>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</si>
  <si>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</si>
  <si>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</si>
  <si>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</si>
  <si>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</si>
  <si>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</si>
  <si>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</si>
  <si>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</si>
  <si>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</si>
  <si>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</si>
  <si>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</si>
  <si>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</si>
  <si>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</si>
  <si>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</si>
  <si>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</si>
  <si>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</si>
  <si>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</si>
  <si>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</si>
  <si>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</si>
  <si>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</si>
  <si>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</si>
  <si>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</si>
  <si>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</si>
  <si>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</si>
  <si>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</si>
  <si>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</si>
  <si>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</si>
  <si>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</si>
  <si>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</si>
  <si>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</si>
  <si>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</si>
  <si>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</si>
  <si>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</si>
  <si>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</si>
  <si>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</si>
  <si>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</si>
  <si>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</si>
  <si>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</si>
  <si>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</si>
  <si>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</si>
  <si>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</si>
  <si>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</si>
  <si>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</si>
  <si>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</si>
  <si>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</si>
  <si>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</si>
  <si>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</si>
  <si>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</si>
  <si>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</si>
  <si>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</si>
  <si>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</si>
  <si>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</si>
  <si>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</si>
  <si>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</si>
  <si>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</si>
  <si>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</si>
  <si>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</si>
  <si>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</si>
  <si>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</si>
  <si>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</si>
  <si>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</si>
  <si>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</si>
  <si>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</si>
  <si>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</si>
  <si>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</si>
  <si>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</si>
  <si>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</si>
  <si>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</si>
  <si>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</si>
  <si>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</si>
  <si>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</si>
  <si>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</si>
  <si>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</si>
  <si>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</si>
  <si>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</si>
  <si>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</si>
  <si>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</si>
  <si>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</si>
  <si>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</si>
  <si>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</si>
  <si>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</si>
  <si>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</si>
  <si>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</si>
  <si>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</si>
  <si>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</si>
  <si>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</si>
  <si>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</si>
  <si>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</si>
  <si>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</si>
  <si>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</si>
  <si>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</si>
  <si>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</si>
  <si>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</si>
  <si>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</si>
  <si>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</si>
  <si>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</si>
  <si>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</si>
  <si>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</si>
  <si>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</si>
  <si>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</si>
  <si>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</si>
  <si>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</si>
  <si>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</si>
  <si>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</si>
  <si>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</si>
  <si>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</si>
  <si>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</si>
  <si>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</si>
  <si>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</si>
  <si>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</si>
  <si>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</si>
  <si>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</si>
  <si>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</si>
  <si>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</si>
  <si>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</si>
  <si>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</si>
  <si>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</si>
  <si>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</si>
  <si>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</si>
  <si>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</si>
  <si>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</si>
  <si>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</si>
  <si>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</si>
  <si>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</si>
  <si>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</si>
  <si>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</si>
  <si>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</si>
  <si>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</si>
  <si>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</si>
  <si>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</si>
  <si>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</si>
  <si>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</si>
  <si>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</si>
  <si>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</si>
  <si>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</si>
  <si>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</si>
  <si>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</si>
  <si>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</si>
  <si>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</si>
  <si>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</si>
  <si>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</si>
  <si>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</si>
  <si>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</si>
  <si>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</si>
  <si>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</si>
  <si>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</si>
  <si>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</si>
  <si>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</si>
  <si>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</si>
  <si>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</si>
  <si>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</si>
  <si>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</si>
  <si>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</si>
  <si>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</si>
  <si>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</si>
  <si>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</si>
  <si>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</si>
  <si>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</si>
  <si>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</si>
  <si>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</si>
  <si>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</si>
  <si>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</si>
  <si>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</si>
  <si>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</si>
  <si>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</si>
  <si>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</si>
  <si>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</si>
  <si>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</si>
  <si>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</si>
  <si>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</si>
  <si>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</si>
  <si>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</si>
  <si>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</si>
  <si>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</si>
  <si>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</si>
  <si>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</si>
  <si>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</si>
  <si>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</si>
  <si>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</si>
  <si>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</si>
  <si>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</si>
  <si>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</si>
  <si>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</si>
  <si>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</si>
  <si>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</si>
  <si>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</si>
  <si>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</si>
  <si>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</si>
  <si>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</si>
  <si>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</si>
  <si>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</si>
  <si>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</si>
  <si>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</si>
  <si>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</si>
  <si>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</si>
  <si>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</si>
  <si>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</si>
  <si>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</si>
  <si>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</si>
  <si>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</si>
  <si>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</si>
  <si>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</si>
  <si>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</si>
  <si>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</si>
  <si>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</si>
  <si>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</si>
  <si>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</si>
  <si>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</si>
  <si>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</si>
  <si>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</si>
  <si>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</si>
  <si>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</si>
  <si>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</si>
  <si>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</si>
  <si>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</si>
  <si>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</si>
  <si>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</si>
  <si>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</si>
  <si>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</si>
  <si>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</si>
  <si>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</si>
  <si>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</si>
  <si>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</si>
  <si>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</si>
  <si>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</si>
  <si>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</si>
  <si>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</si>
  <si>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</si>
  <si>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</si>
  <si>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</si>
  <si>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</si>
  <si>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</si>
  <si>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</si>
  <si>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</si>
  <si>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</si>
  <si>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</si>
  <si>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</si>
  <si>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</si>
  <si>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</si>
  <si>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</si>
  <si>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</si>
  <si>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</si>
  <si>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</si>
  <si>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</si>
  <si>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</si>
  <si>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</si>
  <si>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</si>
  <si>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</si>
  <si>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</si>
  <si>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</si>
  <si>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</si>
  <si>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</si>
  <si>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</si>
  <si>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</si>
  <si>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</si>
  <si>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</si>
  <si>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</si>
  <si>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</si>
  <si>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</si>
  <si>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</si>
  <si>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</si>
  <si>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</si>
  <si>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</si>
  <si>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</si>
  <si>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</si>
  <si>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</si>
  <si>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</si>
  <si>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</si>
  <si>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</si>
  <si>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</si>
  <si>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</si>
  <si>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</si>
  <si>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</si>
  <si>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</si>
  <si>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</si>
  <si>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</si>
  <si>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</si>
  <si>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</si>
  <si>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</si>
  <si>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</si>
  <si>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</si>
  <si>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</si>
  <si>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</si>
  <si>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</si>
  <si>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</si>
  <si>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</si>
  <si>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</si>
  <si>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</si>
  <si>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</si>
  <si>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</si>
  <si>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</si>
  <si>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</si>
  <si>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</si>
  <si>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</si>
  <si>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</si>
  <si>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</si>
  <si>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</si>
  <si>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</si>
  <si>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</si>
  <si>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</si>
  <si>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</si>
  <si>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</si>
  <si>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</si>
  <si>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</si>
  <si>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</si>
  <si>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</si>
  <si>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</si>
  <si>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</si>
  <si>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</si>
  <si>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</si>
  <si>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</si>
  <si>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</si>
  <si>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</si>
  <si>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</si>
  <si>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</si>
  <si>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</si>
  <si>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</si>
  <si>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</si>
  <si>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</si>
  <si>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</si>
  <si>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</si>
  <si>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</si>
  <si>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</si>
  <si>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</si>
  <si>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</si>
  <si>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</si>
  <si>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</si>
  <si>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</si>
  <si>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</si>
  <si>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</si>
  <si>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</si>
  <si>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</si>
  <si>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</si>
  <si>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</si>
  <si>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</si>
  <si>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</si>
  <si>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</si>
  <si>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</si>
  <si>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</si>
  <si>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</si>
  <si>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</si>
  <si>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</si>
  <si>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</si>
  <si>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</si>
  <si>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</si>
  <si>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</si>
  <si>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</si>
  <si>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</si>
  <si>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</si>
  <si>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</si>
  <si>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</si>
  <si>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</si>
  <si>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</si>
  <si>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</si>
  <si>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</si>
  <si>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</si>
  <si>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</si>
  <si>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</si>
  <si>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</si>
  <si>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</si>
  <si>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</si>
  <si>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</si>
  <si>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</si>
  <si>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</si>
  <si>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</si>
  <si>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</si>
  <si>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</si>
  <si>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</si>
  <si>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</si>
  <si>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</si>
  <si>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</si>
  <si>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</si>
  <si>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</si>
  <si>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</si>
  <si>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</si>
  <si>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</si>
  <si>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</si>
  <si>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</si>
  <si>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</si>
  <si>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</si>
  <si>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</si>
  <si>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</si>
  <si>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</si>
  <si>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</si>
  <si>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</si>
  <si>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</si>
  <si>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</si>
  <si>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</si>
  <si>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</si>
  <si>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</si>
  <si>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</si>
  <si>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</si>
  <si>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</si>
  <si>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</si>
  <si>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</si>
  <si>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</si>
  <si>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</si>
  <si>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</si>
  <si>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</si>
  <si>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</si>
  <si>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</si>
  <si>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</si>
  <si>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</si>
  <si>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</si>
  <si>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</si>
  <si>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</si>
  <si>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</si>
  <si>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</si>
  <si>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</si>
  <si>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</si>
  <si>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</si>
  <si>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</si>
  <si>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</si>
  <si>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</si>
  <si>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</si>
  <si>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</si>
  <si>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</si>
  <si>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</si>
  <si>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</si>
  <si>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</si>
  <si>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</si>
  <si>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</si>
  <si>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</si>
  <si>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</si>
  <si>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</si>
  <si>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</si>
  <si>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</si>
  <si>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</si>
  <si>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</si>
  <si>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</si>
  <si>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</si>
  <si>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</si>
  <si>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</si>
  <si>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</si>
  <si>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</si>
  <si>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</si>
  <si>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</si>
  <si>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</si>
  <si>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</si>
  <si>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</si>
  <si>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</si>
  <si>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</si>
  <si>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</si>
  <si>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</si>
  <si>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</si>
  <si>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</si>
  <si>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</si>
  <si>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</si>
  <si>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</si>
  <si>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</si>
  <si>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</si>
  <si>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</si>
  <si>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</si>
  <si>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</si>
  <si>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</si>
  <si>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</si>
  <si>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</si>
  <si>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</si>
  <si>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</si>
  <si>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</si>
  <si>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</si>
  <si>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</si>
  <si>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</si>
  <si>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</si>
  <si>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</si>
  <si>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</si>
  <si>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</si>
  <si>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</si>
  <si>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</si>
  <si>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</si>
  <si>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</si>
  <si>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</si>
  <si>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</si>
  <si>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</si>
  <si>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</si>
  <si>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</si>
  <si>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</si>
  <si>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</si>
  <si>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</si>
  <si>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</si>
  <si>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</si>
  <si>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</si>
  <si>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</si>
  <si>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</si>
  <si>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</si>
  <si>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</si>
  <si>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</si>
  <si>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</si>
  <si>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</si>
  <si>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</si>
  <si>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</si>
  <si>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</si>
  <si>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</si>
  <si>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</si>
  <si>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</si>
  <si>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</si>
  <si>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</si>
  <si>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</si>
  <si>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</si>
  <si>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</si>
  <si>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</si>
  <si>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</si>
  <si>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</si>
  <si>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</si>
  <si>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</si>
  <si>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</si>
  <si>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</si>
  <si>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</si>
  <si>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</si>
  <si>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</si>
  <si>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</si>
  <si>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</si>
  <si>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</si>
  <si>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</si>
  <si>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</si>
  <si>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</si>
  <si>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</si>
  <si>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</si>
  <si>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</si>
  <si>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</si>
  <si>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</si>
  <si>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</si>
  <si>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</si>
  <si>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</si>
  <si>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</si>
  <si>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</si>
  <si>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</si>
  <si>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</si>
  <si>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</si>
  <si>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</si>
  <si>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</si>
  <si>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</si>
  <si>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</si>
  <si>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</si>
  <si>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</si>
  <si>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</si>
  <si>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</si>
  <si>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</si>
  <si>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</si>
  <si>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</si>
  <si>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</si>
  <si>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</si>
  <si>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</si>
  <si>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</si>
  <si>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</si>
  <si>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</si>
  <si>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</si>
  <si>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</si>
  <si>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</si>
  <si>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</si>
  <si>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</si>
  <si>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</si>
  <si>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</si>
  <si>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</si>
  <si>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</si>
  <si>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</si>
  <si>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</si>
  <si>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</si>
  <si>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</si>
  <si>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</si>
  <si>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</si>
  <si>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</si>
  <si>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</si>
  <si>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</si>
  <si>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</si>
  <si>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</si>
  <si>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</si>
  <si>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</si>
  <si>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</si>
  <si>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</si>
  <si>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</si>
  <si>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</si>
  <si>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</si>
  <si>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</si>
  <si>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</si>
  <si>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</si>
  <si>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</si>
  <si>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</si>
  <si>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</si>
  <si>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</si>
  <si>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</si>
  <si>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</si>
  <si>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</si>
  <si>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</si>
  <si>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</si>
  <si>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</si>
  <si>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</si>
  <si>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</si>
  <si>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</si>
  <si>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</si>
  <si>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</si>
  <si>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</si>
  <si>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</si>
  <si>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</si>
  <si>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</si>
  <si>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</si>
  <si>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</si>
  <si>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</si>
  <si>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</si>
  <si>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</si>
  <si>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</si>
  <si>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</si>
  <si>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</si>
  <si>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</si>
  <si>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</si>
  <si>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</si>
  <si>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</si>
  <si>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</si>
  <si>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</si>
  <si>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</si>
  <si>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</si>
  <si>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</si>
  <si>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</si>
  <si>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</si>
  <si>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</si>
  <si>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</si>
  <si>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</si>
  <si>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</si>
  <si>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</si>
  <si>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</si>
  <si>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</si>
  <si>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</si>
  <si>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</si>
  <si>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</si>
  <si>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</si>
  <si>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</si>
  <si>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</si>
  <si>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</si>
  <si>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</si>
  <si>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</si>
  <si>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</si>
  <si>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</si>
  <si>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</si>
  <si>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</si>
  <si>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</si>
  <si>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</si>
  <si>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</si>
  <si>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</si>
  <si>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</si>
  <si>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</si>
  <si>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</si>
  <si>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</si>
  <si>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</si>
  <si>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</si>
  <si>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</si>
  <si>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</si>
  <si>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</si>
  <si>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</si>
  <si>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</si>
  <si>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</si>
  <si>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</si>
  <si>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</si>
  <si>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</si>
  <si>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</si>
  <si>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</si>
  <si>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</si>
  <si>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</si>
  <si>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</si>
  <si>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</si>
  <si>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</si>
  <si>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</si>
  <si>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</si>
  <si>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</si>
  <si>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</si>
  <si>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</si>
  <si>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</si>
  <si>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</si>
  <si>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</si>
  <si>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</si>
  <si>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</si>
  <si>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</si>
  <si>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</si>
  <si>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</si>
  <si>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</si>
  <si>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</si>
  <si>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</si>
  <si>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</si>
  <si>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</si>
  <si>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</si>
  <si>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</si>
  <si>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</si>
  <si>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</si>
  <si>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</si>
  <si>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</si>
  <si>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</si>
  <si>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</si>
  <si>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</si>
  <si>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</si>
  <si>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</si>
  <si>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</si>
  <si>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</si>
  <si>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</si>
  <si>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</si>
  <si>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</si>
  <si>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</si>
  <si>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</si>
  <si>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</si>
  <si>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</si>
  <si>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</si>
  <si>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</si>
  <si>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</si>
  <si>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</si>
  <si>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</si>
  <si>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</si>
  <si>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</si>
  <si>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</si>
  <si>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</si>
  <si>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</si>
  <si>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</si>
  <si>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</si>
  <si>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</si>
  <si>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</si>
  <si>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</si>
  <si>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</si>
  <si>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</si>
  <si>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</si>
  <si>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</si>
  <si>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</si>
  <si>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</si>
  <si>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</si>
  <si>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</si>
  <si>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</si>
  <si>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</si>
  <si>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</si>
  <si>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</si>
  <si>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</si>
  <si>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</si>
  <si>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</si>
  <si>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</si>
  <si>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</si>
  <si>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</si>
  <si>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</si>
  <si>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</si>
  <si>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</si>
  <si>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</si>
  <si>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</si>
  <si>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</si>
  <si>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</si>
  <si>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</si>
  <si>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</si>
  <si>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</si>
  <si>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</si>
  <si>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</si>
  <si>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</si>
  <si>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</si>
  <si>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</si>
  <si>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</si>
  <si>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</si>
  <si>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</si>
  <si>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</si>
  <si>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</si>
  <si>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</si>
  <si>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</si>
  <si>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</si>
  <si>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</si>
  <si>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</si>
  <si>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</si>
  <si>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</si>
  <si>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</si>
  <si>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</si>
  <si>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</si>
  <si>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</si>
  <si>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</si>
  <si>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</si>
  <si>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</si>
  <si>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</si>
  <si>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</si>
  <si>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</si>
  <si>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</si>
  <si>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</si>
  <si>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</si>
  <si>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</si>
  <si>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</si>
  <si>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</si>
  <si>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</si>
  <si>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</si>
  <si>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</si>
  <si>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</si>
  <si>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</si>
  <si>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</si>
  <si>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</si>
  <si>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</si>
  <si>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</si>
  <si>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</si>
  <si>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</si>
  <si>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</si>
  <si>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</si>
  <si>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</si>
  <si>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</si>
  <si>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</si>
  <si>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</si>
  <si>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</si>
  <si>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</si>
  <si>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</si>
  <si>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</si>
  <si>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</si>
  <si>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</si>
  <si>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</si>
  <si>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</si>
  <si>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</si>
  <si>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</si>
  <si>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</si>
  <si>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</si>
  <si>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</si>
  <si>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</si>
  <si>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</si>
  <si>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</si>
  <si>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</si>
  <si>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</si>
  <si>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</si>
  <si>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</si>
  <si>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</si>
  <si>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</si>
  <si>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</si>
  <si>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</si>
  <si>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</si>
  <si>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</si>
  <si>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</si>
  <si>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</si>
  <si>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</si>
  <si>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</si>
  <si>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</si>
  <si>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</si>
  <si>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</si>
  <si>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</si>
  <si>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</si>
  <si>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</si>
  <si>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</si>
  <si>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</si>
  <si>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</si>
  <si>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</si>
  <si>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</si>
  <si>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</si>
  <si>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</si>
  <si>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</si>
  <si>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</si>
  <si>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</si>
  <si>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</si>
  <si>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</si>
  <si>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</si>
  <si>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</si>
  <si>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</si>
  <si>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</si>
  <si>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</si>
  <si>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</si>
  <si>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</si>
  <si>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</si>
  <si>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</si>
  <si>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</si>
  <si>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</si>
  <si>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</si>
  <si>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</si>
  <si>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</si>
  <si>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</si>
  <si>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</si>
  <si>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</si>
  <si>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</si>
  <si>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</si>
  <si>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</si>
  <si>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</si>
  <si>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</si>
  <si>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</si>
  <si>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</si>
  <si>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</si>
  <si>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</si>
  <si>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</si>
  <si>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</si>
  <si>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</si>
  <si>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</si>
  <si>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</si>
  <si>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</si>
  <si>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</si>
  <si>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</si>
  <si>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</si>
  <si>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</si>
  <si>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</si>
  <si>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</si>
  <si>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</si>
  <si>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</si>
  <si>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</si>
  <si>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</si>
  <si>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</si>
  <si>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</si>
  <si>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</si>
  <si>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</si>
  <si>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</si>
  <si>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</si>
  <si>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</si>
  <si>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</si>
  <si>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</si>
  <si>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</si>
  <si>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</si>
  <si>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</si>
  <si>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</si>
  <si>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</si>
  <si>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</si>
  <si>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</si>
  <si>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</si>
  <si>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</si>
  <si>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</si>
  <si>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</si>
  <si>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</si>
  <si>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</si>
  <si>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</si>
  <si>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</si>
  <si>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</si>
  <si>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</si>
  <si>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</si>
  <si>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</si>
  <si>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</si>
  <si>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</si>
  <si>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</si>
  <si>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</si>
  <si>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</si>
  <si>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</si>
  <si>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</si>
  <si>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</si>
  <si>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</si>
  <si>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</si>
  <si>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</si>
  <si>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</si>
  <si>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</si>
  <si>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</si>
  <si>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</si>
  <si>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</si>
  <si>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</si>
  <si>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</si>
  <si>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</si>
  <si>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</si>
  <si>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</si>
  <si>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</si>
  <si>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</si>
  <si>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</si>
  <si>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</si>
  <si>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</si>
  <si>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</si>
  <si>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</si>
  <si>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</si>
  <si>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</si>
  <si>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</si>
  <si>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</si>
  <si>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</si>
  <si>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</si>
  <si>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</si>
  <si>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</si>
  <si>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</si>
  <si>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</si>
  <si>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</si>
  <si>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</si>
  <si>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</si>
  <si>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</si>
  <si>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</si>
  <si>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</si>
  <si>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</si>
  <si>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</si>
  <si>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</si>
  <si>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</si>
  <si>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</si>
  <si>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</si>
  <si>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</si>
  <si>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</si>
  <si>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</si>
  <si>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</si>
  <si>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</si>
  <si>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</si>
  <si>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</si>
  <si>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</si>
  <si>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</si>
  <si>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</si>
  <si>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</si>
  <si>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</si>
  <si>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</si>
  <si>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</si>
  <si>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</si>
  <si>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</si>
  <si>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</si>
  <si>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</si>
  <si>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</si>
  <si>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</si>
  <si>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</si>
  <si>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</si>
  <si>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</si>
  <si>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</si>
  <si>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</si>
  <si>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</si>
  <si>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</si>
  <si>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</si>
  <si>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</si>
  <si>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</si>
  <si>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</si>
  <si>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</si>
  <si>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</si>
  <si>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</si>
  <si>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</si>
  <si>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</si>
  <si>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</si>
  <si>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</si>
  <si>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</si>
  <si>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</si>
  <si>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</si>
  <si>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</si>
  <si>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</si>
  <si>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</si>
  <si>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</si>
  <si>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</si>
  <si>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</si>
  <si>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</si>
  <si>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</si>
  <si>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</si>
  <si>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</si>
  <si>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</si>
  <si>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</si>
  <si>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</si>
  <si>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</si>
  <si>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</si>
  <si>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</si>
  <si>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</si>
  <si>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</si>
  <si>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</si>
  <si>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</si>
  <si>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</si>
  <si>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</si>
  <si>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</si>
  <si>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</si>
  <si>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</si>
  <si>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</si>
  <si>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</si>
  <si>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</si>
  <si>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</si>
  <si>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</si>
  <si>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</si>
  <si>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</si>
  <si>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</si>
  <si>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</si>
  <si>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</si>
  <si>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</si>
  <si>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</si>
  <si>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</si>
  <si>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</si>
  <si>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</si>
  <si>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</si>
  <si>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</si>
  <si>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</si>
  <si>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</si>
  <si>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</si>
  <si>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</si>
  <si>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</si>
  <si>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</si>
  <si>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</si>
  <si>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</si>
  <si>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</si>
  <si>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</si>
  <si>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</si>
  <si>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</si>
  <si>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</si>
  <si>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</si>
  <si>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</si>
  <si>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</si>
  <si>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</si>
  <si>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</si>
  <si>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</si>
  <si>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</si>
  <si>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</si>
  <si>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</si>
  <si>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</si>
  <si>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</si>
  <si>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</si>
  <si>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</si>
  <si>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</si>
  <si>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</si>
  <si>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</si>
  <si>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</si>
  <si>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</si>
  <si>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</si>
  <si>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</si>
  <si>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</si>
  <si>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</si>
  <si>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</si>
  <si>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</si>
  <si>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</si>
  <si>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</si>
  <si>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</si>
  <si>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</si>
  <si>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</si>
  <si>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</si>
  <si>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</si>
  <si>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</si>
  <si>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</si>
  <si>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</si>
  <si>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</si>
  <si>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</si>
  <si>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</si>
  <si>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</si>
  <si>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</si>
  <si>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</si>
  <si>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</si>
  <si>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</si>
  <si>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</si>
  <si>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</si>
  <si>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</si>
  <si>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</si>
  <si>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</si>
  <si>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</si>
  <si>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</si>
  <si>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</si>
  <si>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</si>
  <si>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</si>
  <si>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</si>
  <si>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</si>
  <si>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</si>
  <si>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</si>
  <si>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</si>
  <si>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</si>
  <si>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</si>
  <si>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</si>
  <si>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</si>
  <si>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</si>
  <si>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</si>
  <si>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</si>
  <si>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</si>
  <si>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</si>
  <si>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</si>
  <si>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</si>
  <si>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</si>
  <si>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</si>
  <si>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</si>
  <si>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</si>
  <si>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</si>
  <si>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</si>
  <si>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</si>
  <si>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</si>
  <si>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</si>
  <si>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</si>
  <si>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</si>
  <si>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</si>
  <si>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</si>
  <si>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</si>
  <si>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</si>
  <si>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</si>
  <si>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</si>
  <si>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</si>
  <si>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</si>
  <si>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</si>
  <si>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</si>
  <si>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</si>
  <si>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</si>
  <si>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</si>
  <si>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</si>
  <si>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</si>
  <si>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</si>
  <si>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</si>
  <si>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</si>
  <si>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</si>
  <si>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</si>
  <si>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</si>
  <si>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</si>
  <si>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</si>
  <si>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</si>
  <si>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</si>
  <si>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</si>
  <si>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</si>
  <si>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</si>
  <si>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</si>
  <si>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</si>
  <si>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</si>
  <si>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</si>
  <si>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</si>
  <si>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</si>
  <si>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</si>
  <si>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</si>
  <si>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</si>
  <si>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</si>
  <si>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</si>
  <si>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</si>
  <si>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</si>
  <si>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</si>
  <si>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</si>
  <si>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</si>
  <si>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</si>
  <si>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</si>
  <si>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</si>
  <si>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</si>
  <si>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</si>
  <si>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</si>
  <si>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</si>
  <si>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</si>
  <si>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</si>
  <si>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</si>
  <si>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</si>
  <si>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</si>
  <si>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</si>
  <si>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</si>
  <si>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</si>
  <si>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</si>
  <si>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</si>
  <si>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</si>
  <si>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</si>
  <si>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</si>
  <si>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</si>
  <si>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</si>
  <si>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</si>
  <si>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</si>
  <si>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</si>
  <si>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</si>
  <si>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</si>
  <si>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</si>
  <si>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</si>
  <si>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</si>
  <si>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</si>
  <si>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</si>
  <si>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</si>
  <si>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</si>
  <si>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</si>
  <si>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</si>
  <si>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</si>
  <si>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</si>
  <si>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</si>
  <si>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</si>
  <si>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</si>
  <si>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</si>
  <si>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</si>
  <si>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</si>
  <si>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</si>
  <si>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</si>
  <si>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</si>
  <si>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</si>
  <si>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</si>
  <si>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</si>
  <si>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</si>
  <si>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</si>
  <si>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</si>
  <si>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</si>
  <si>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</si>
  <si>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</si>
  <si>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</si>
  <si>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</si>
  <si>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</si>
  <si>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</si>
  <si>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</si>
  <si>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</si>
  <si>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</si>
  <si>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</si>
  <si>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</si>
  <si>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</si>
  <si>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</si>
  <si>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</si>
  <si>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</si>
  <si>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</si>
  <si>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</si>
  <si>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</si>
  <si>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</si>
  <si>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</si>
  <si>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</si>
  <si>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</si>
  <si>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</si>
  <si>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</si>
  <si>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</si>
  <si>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</si>
  <si>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</si>
  <si>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</si>
  <si>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</si>
  <si>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</si>
  <si>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</si>
  <si>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</si>
  <si>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</si>
  <si>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</si>
  <si>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</si>
  <si>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</si>
  <si>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</si>
  <si>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</si>
  <si>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</si>
  <si>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</si>
  <si>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</si>
  <si>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</si>
  <si>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</si>
  <si>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</si>
  <si>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</si>
  <si>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</si>
  <si>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</si>
  <si>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</si>
  <si>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</si>
  <si>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</si>
  <si>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</si>
  <si>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</si>
  <si>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</si>
  <si>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</si>
  <si>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</si>
  <si>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</si>
  <si>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</si>
  <si>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</si>
  <si>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</si>
  <si>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</si>
  <si>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</si>
  <si>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</si>
  <si>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</si>
  <si>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</si>
  <si>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</si>
  <si>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</si>
  <si>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</si>
  <si>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</si>
  <si>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</si>
  <si>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</si>
  <si>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</si>
  <si>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</si>
  <si>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</si>
  <si>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</si>
  <si>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</si>
  <si>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</si>
  <si>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</si>
  <si>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</si>
  <si>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</si>
  <si>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</si>
  <si>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</si>
  <si>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</si>
  <si>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</si>
  <si>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</si>
  <si>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</si>
  <si>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</si>
  <si>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</si>
  <si>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</si>
  <si>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</si>
  <si>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</si>
  <si>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</si>
  <si>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</si>
  <si>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</si>
  <si>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</si>
  <si>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</si>
  <si>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</si>
  <si>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</si>
  <si>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</si>
  <si>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</si>
  <si>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</si>
  <si>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</si>
  <si>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</si>
  <si>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</si>
  <si>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</si>
  <si>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</si>
  <si>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</si>
  <si>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</si>
  <si>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</si>
  <si>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</si>
  <si>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</si>
  <si>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</si>
  <si>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</si>
  <si>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</si>
  <si>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</si>
  <si>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</si>
  <si>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</si>
  <si>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</si>
  <si>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</si>
  <si>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</si>
  <si>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</si>
  <si>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</si>
  <si>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</si>
  <si>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</si>
  <si>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</si>
  <si>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</si>
  <si>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</si>
  <si>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</si>
  <si>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</si>
  <si>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</si>
  <si>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</si>
  <si>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</si>
  <si>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</si>
  <si>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</si>
  <si>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</si>
  <si>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</si>
  <si>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</si>
  <si>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</si>
  <si>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</si>
  <si>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</si>
  <si>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</si>
  <si>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</si>
  <si>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</si>
  <si>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</si>
  <si>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</si>
  <si>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</si>
  <si>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</si>
  <si>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</si>
  <si>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</si>
  <si>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</si>
  <si>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</si>
  <si>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</si>
  <si>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</si>
  <si>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</si>
  <si>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</si>
  <si>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</si>
  <si>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</si>
  <si>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</si>
  <si>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</si>
  <si>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</si>
  <si>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</si>
  <si>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</si>
  <si>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</si>
  <si>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</si>
  <si>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</si>
  <si>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</si>
  <si>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</si>
  <si>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</si>
  <si>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</si>
  <si>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</si>
  <si>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</si>
  <si>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</si>
  <si>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</si>
  <si>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</si>
  <si>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</si>
  <si>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</si>
  <si>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</si>
  <si>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</si>
  <si>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</si>
  <si>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</si>
  <si>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</si>
  <si>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</si>
  <si>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</si>
  <si>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</si>
  <si>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</si>
  <si>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</si>
  <si>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</si>
  <si>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</si>
  <si>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</si>
  <si>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</si>
  <si>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</si>
  <si>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</si>
  <si>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</si>
  <si>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</si>
  <si>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</si>
  <si>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</si>
  <si>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</si>
  <si>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</si>
  <si>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</si>
  <si>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</si>
  <si>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</si>
  <si>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</si>
  <si>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</si>
  <si>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</si>
  <si>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</si>
  <si>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</si>
  <si>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</si>
  <si>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</si>
  <si>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</si>
  <si>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</si>
  <si>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</si>
  <si>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</si>
  <si>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</si>
  <si>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</si>
  <si>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</si>
  <si>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</si>
  <si>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</si>
  <si>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</si>
  <si>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</si>
  <si>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</si>
  <si>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</si>
  <si>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</si>
  <si>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</si>
  <si>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</si>
  <si>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</si>
  <si>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</si>
  <si>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</si>
  <si>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</si>
  <si>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</si>
  <si>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</si>
  <si>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</si>
  <si>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</si>
  <si>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</si>
  <si>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</si>
  <si>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</si>
  <si>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</si>
  <si>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</si>
  <si>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</si>
  <si>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</si>
  <si>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</si>
  <si>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</si>
  <si>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</si>
  <si>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</si>
  <si>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</si>
  <si>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</si>
  <si>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</si>
  <si>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</si>
  <si>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</si>
  <si>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</si>
  <si>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</si>
  <si>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</si>
  <si>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</si>
  <si>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</si>
  <si>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</si>
  <si>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</si>
  <si>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</si>
  <si>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</si>
  <si>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</si>
  <si>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</si>
  <si>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</si>
  <si>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</si>
  <si>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</si>
  <si>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</si>
  <si>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</si>
  <si>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</si>
  <si>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</si>
  <si>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</si>
  <si>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</si>
  <si>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</si>
  <si>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</si>
  <si>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</si>
  <si>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</si>
  <si>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</si>
  <si>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</si>
  <si>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</si>
  <si>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</si>
  <si>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</si>
  <si>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</si>
  <si>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</si>
  <si>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</si>
  <si>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</si>
  <si>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</si>
  <si>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</si>
  <si>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</si>
  <si>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</si>
  <si>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</si>
  <si>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</si>
  <si>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</si>
  <si>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</si>
  <si>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</si>
  <si>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</si>
  <si>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</si>
  <si>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</si>
  <si>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</si>
  <si>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</si>
  <si>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</si>
  <si>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</si>
  <si>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</si>
  <si>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</si>
  <si>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</si>
  <si>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</si>
  <si>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</si>
  <si>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</si>
  <si>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</si>
  <si>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</si>
  <si>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</si>
  <si>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</si>
  <si>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</si>
  <si>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</si>
  <si>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</si>
  <si>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</si>
  <si>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</si>
  <si>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</si>
  <si>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</si>
  <si>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</si>
  <si>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</si>
  <si>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</si>
  <si>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</si>
  <si>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</si>
  <si>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</si>
  <si>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</si>
  <si>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</si>
  <si>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</si>
  <si>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</si>
  <si>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</si>
  <si>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</si>
  <si>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</si>
  <si>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</si>
  <si>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</si>
  <si>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</si>
  <si>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</si>
  <si>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</si>
  <si>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</si>
  <si>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</si>
  <si>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</si>
  <si>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</si>
  <si>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</si>
  <si>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</si>
  <si>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</si>
  <si>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</si>
  <si>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</si>
  <si>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</si>
  <si>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</si>
  <si>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</si>
  <si>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</si>
  <si>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</si>
  <si>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</si>
  <si>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</si>
  <si>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</si>
  <si>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</si>
  <si>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</si>
  <si>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</si>
  <si>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</si>
  <si>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</si>
  <si>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</si>
  <si>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</si>
  <si>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</si>
  <si>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</si>
  <si>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</si>
  <si>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</si>
  <si>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</si>
  <si>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</si>
  <si>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</si>
  <si>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</si>
  <si>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</si>
  <si>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</si>
  <si>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</si>
  <si>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</si>
  <si>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</si>
  <si>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</si>
  <si>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</si>
  <si>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</si>
  <si>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</si>
  <si>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</si>
  <si>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</si>
  <si>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</si>
  <si>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</si>
  <si>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</si>
  <si>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</si>
  <si>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</si>
  <si>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</si>
  <si>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</si>
  <si>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</si>
  <si>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</si>
  <si>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</si>
  <si>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</si>
  <si>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</si>
  <si>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</si>
  <si>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</si>
  <si>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</si>
  <si>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</si>
  <si>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</si>
  <si>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</si>
  <si>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</si>
  <si>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</si>
  <si>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</si>
  <si>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</si>
  <si>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</si>
  <si>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</si>
  <si>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</si>
  <si>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</si>
  <si>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</si>
  <si>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</si>
  <si>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</si>
  <si>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</si>
  <si>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</si>
  <si>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</si>
  <si>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</si>
  <si>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</si>
  <si>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</si>
  <si>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</si>
  <si>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</si>
  <si>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</si>
  <si>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</si>
  <si>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</si>
  <si>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</si>
  <si>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</si>
  <si>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</si>
  <si>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</si>
  <si>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</si>
  <si>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</si>
  <si>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</si>
  <si>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</si>
  <si>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</si>
  <si>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</si>
  <si>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</si>
  <si>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</si>
  <si>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</si>
  <si>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</si>
  <si>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</si>
  <si>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</si>
  <si>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</si>
  <si>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</si>
  <si>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</si>
  <si>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</si>
  <si>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</si>
  <si>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</si>
  <si>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</si>
  <si>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</si>
  <si>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</si>
  <si>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</si>
  <si>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</si>
  <si>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</si>
  <si>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</si>
  <si>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</si>
  <si>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</si>
  <si>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</si>
  <si>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</si>
  <si>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</si>
  <si>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</si>
  <si>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</si>
  <si>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</si>
  <si>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</si>
  <si>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</si>
  <si>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</si>
  <si>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</si>
  <si>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</si>
  <si>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</si>
  <si>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</si>
  <si>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</si>
  <si>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</si>
  <si>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</si>
  <si>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</si>
  <si>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</si>
  <si>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</si>
  <si>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</si>
  <si>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</si>
  <si>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</si>
  <si>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</si>
  <si>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</si>
  <si>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</si>
  <si>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</si>
  <si>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</si>
  <si>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</si>
  <si>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</si>
  <si>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</si>
  <si>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</si>
  <si>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</si>
  <si>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</si>
  <si>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</si>
  <si>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</si>
  <si>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</si>
  <si>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</si>
  <si>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</si>
  <si>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</si>
  <si>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</si>
  <si>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</si>
  <si>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</si>
  <si>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</si>
  <si>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</si>
  <si>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</si>
  <si>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</si>
  <si>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</si>
  <si>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</si>
  <si>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</si>
  <si>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</si>
  <si>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</si>
  <si>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</si>
  <si>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</si>
  <si>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</si>
  <si>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</si>
  <si>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</si>
  <si>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</si>
  <si>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</si>
  <si>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</si>
  <si>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</si>
  <si>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</si>
  <si>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</si>
  <si>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</si>
  <si>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</si>
  <si>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</si>
  <si>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</si>
  <si>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</si>
  <si>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</si>
  <si>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</si>
  <si>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</si>
  <si>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</si>
  <si>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</si>
  <si>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</si>
  <si>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</si>
  <si>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</si>
  <si>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</si>
  <si>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</si>
  <si>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</si>
  <si>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</si>
  <si>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</si>
  <si>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</si>
  <si>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</si>
  <si>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</si>
  <si>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</si>
  <si>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</si>
  <si>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</si>
  <si>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</si>
  <si>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</si>
  <si>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</si>
  <si>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</si>
  <si>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</si>
  <si>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</si>
  <si>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</si>
  <si>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</si>
  <si>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</si>
  <si>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</si>
  <si>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</si>
  <si>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</si>
  <si>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</si>
  <si>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</si>
  <si>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</si>
  <si>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</si>
  <si>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</si>
  <si>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</si>
  <si>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</si>
  <si>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</si>
  <si>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</si>
  <si>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</si>
  <si>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</si>
  <si>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</si>
  <si>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</si>
  <si>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</si>
  <si>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</si>
  <si>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</si>
  <si>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</si>
  <si>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</si>
  <si>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</si>
  <si>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</si>
  <si>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</si>
  <si>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</si>
  <si>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</si>
  <si>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</si>
  <si>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</si>
  <si>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</si>
  <si>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</si>
  <si>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</si>
  <si>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</si>
  <si>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</si>
  <si>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</si>
  <si>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</si>
  <si>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</si>
  <si>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</si>
  <si>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</si>
  <si>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</si>
  <si>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</si>
  <si>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</si>
  <si>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</si>
  <si>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</si>
  <si>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</si>
  <si>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</si>
  <si>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</si>
  <si>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</si>
  <si>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</si>
  <si>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</si>
  <si>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</si>
  <si>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</si>
  <si>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</si>
  <si>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</si>
  <si>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</si>
  <si>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</si>
  <si>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</si>
  <si>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</si>
  <si>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</si>
  <si>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</si>
  <si>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</si>
  <si>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</si>
  <si>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</si>
  <si>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</si>
  <si>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</si>
  <si>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</si>
  <si>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</si>
  <si>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</si>
  <si>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</si>
  <si>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</si>
  <si>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</si>
  <si>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</si>
  <si>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</si>
  <si>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</si>
  <si>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</si>
  <si>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</si>
  <si>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</si>
  <si>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</si>
  <si>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</si>
  <si>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</si>
  <si>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</si>
  <si>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</si>
  <si>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</si>
  <si>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</si>
  <si>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</si>
  <si>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</si>
  <si>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</si>
  <si>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</si>
  <si>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</si>
  <si>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</si>
  <si>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</si>
  <si>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</si>
  <si>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</si>
  <si>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</si>
  <si>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</si>
  <si>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</si>
  <si>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</si>
  <si>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</si>
  <si>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</si>
  <si>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</si>
  <si>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</si>
  <si>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</si>
  <si>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</si>
  <si>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</si>
  <si>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</si>
  <si>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</si>
  <si>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</si>
  <si>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</si>
  <si>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</si>
  <si>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</si>
  <si>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</si>
  <si>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</si>
  <si>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</si>
  <si>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</si>
  <si>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</si>
  <si>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</si>
  <si>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</si>
  <si>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</si>
  <si>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</si>
  <si>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</si>
  <si>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</si>
  <si>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</si>
  <si>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</si>
  <si>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</si>
  <si>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</si>
  <si>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</si>
  <si>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</si>
  <si>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</si>
  <si>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</si>
  <si>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</si>
  <si>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</si>
  <si>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</si>
  <si>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</si>
  <si>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</si>
  <si>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</si>
  <si>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</si>
  <si>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</si>
  <si>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</si>
  <si>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</si>
  <si>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</si>
  <si>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</si>
  <si>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</si>
  <si>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</si>
  <si>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</si>
  <si>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</si>
  <si>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</si>
  <si>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</si>
  <si>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</si>
  <si>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</si>
  <si>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</si>
  <si>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</si>
  <si>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</si>
  <si>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</si>
  <si>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</si>
  <si>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</si>
  <si>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</si>
  <si>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</si>
  <si>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</si>
  <si>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</si>
  <si>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</si>
  <si>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</si>
  <si>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</si>
  <si>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</si>
  <si>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</si>
  <si>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</si>
  <si>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</si>
  <si>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</si>
  <si>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</si>
  <si>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</si>
  <si>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</si>
  <si>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</si>
  <si>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</si>
  <si>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</si>
  <si>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</si>
  <si>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</si>
  <si>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</si>
  <si>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</si>
  <si>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</si>
  <si>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</si>
  <si>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</si>
  <si>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</si>
  <si>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</si>
  <si>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</si>
  <si>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</si>
  <si>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</si>
  <si>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</si>
  <si>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</si>
  <si>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</si>
  <si>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</si>
  <si>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</si>
  <si>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</si>
  <si>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</si>
  <si>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</si>
  <si>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</si>
  <si>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</si>
  <si>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</si>
  <si>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</si>
  <si>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</si>
  <si>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</si>
  <si>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</si>
  <si>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</si>
  <si>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</si>
  <si>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</si>
  <si>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</si>
  <si>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</si>
  <si>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</si>
  <si>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</si>
  <si>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</si>
  <si>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</si>
  <si>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</si>
  <si>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</si>
  <si>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</si>
  <si>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</si>
  <si>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</si>
  <si>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</si>
  <si>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</si>
  <si>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</si>
  <si>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</si>
  <si>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</si>
  <si>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</si>
  <si>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</si>
  <si>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</si>
  <si>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</si>
  <si>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</si>
  <si>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</si>
  <si>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</si>
  <si>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</si>
  <si>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</si>
  <si>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</si>
  <si>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</si>
  <si>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</si>
  <si>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</si>
  <si>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</si>
  <si>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</si>
  <si>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</si>
  <si>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</si>
  <si>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</si>
  <si>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</si>
  <si>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</si>
  <si>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</si>
  <si>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</si>
  <si>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</si>
  <si>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</si>
  <si>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</si>
  <si>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</si>
  <si>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</si>
  <si>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</si>
  <si>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</si>
  <si>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</si>
  <si>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</si>
  <si>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</si>
  <si>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</si>
  <si>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</si>
  <si>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</si>
  <si>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</si>
  <si>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</si>
  <si>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</si>
  <si>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</si>
  <si>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</si>
  <si>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</si>
  <si>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</si>
  <si>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</si>
  <si>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</si>
  <si>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</si>
  <si>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</si>
  <si>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</si>
  <si>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</si>
  <si>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</si>
  <si>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</si>
  <si>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</si>
  <si>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</si>
  <si>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</si>
  <si>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</si>
  <si>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</si>
  <si>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</si>
  <si>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</si>
  <si>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</si>
  <si>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</si>
  <si>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</si>
  <si>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</si>
  <si>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</si>
  <si>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</si>
  <si>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</si>
  <si>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</si>
  <si>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</si>
  <si>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</si>
  <si>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</si>
  <si>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</si>
  <si>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</si>
  <si>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</si>
  <si>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</si>
  <si>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</si>
  <si>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</si>
  <si>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</si>
  <si>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</si>
  <si>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</si>
  <si>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</si>
  <si>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</si>
  <si>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</si>
  <si>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</si>
  <si>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</si>
  <si>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</si>
  <si>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</si>
  <si>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</si>
  <si>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</si>
  <si>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</si>
  <si>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</si>
  <si>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</si>
  <si>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</si>
  <si>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</si>
  <si>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</si>
  <si>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</si>
  <si>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</si>
  <si>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</si>
  <si>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</si>
  <si>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</si>
  <si>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</si>
  <si>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</si>
  <si>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</si>
  <si>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</si>
  <si>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</si>
  <si>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</si>
  <si>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</si>
  <si>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</si>
  <si>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</si>
  <si>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</si>
  <si>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</si>
  <si>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</si>
  <si>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</si>
  <si>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</si>
  <si>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</si>
  <si>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</si>
  <si>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</si>
  <si>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</si>
  <si>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</si>
  <si>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</si>
  <si>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</si>
  <si>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</si>
  <si>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</si>
  <si>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</si>
  <si>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</si>
  <si>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</si>
  <si>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</si>
  <si>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</si>
  <si>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</si>
  <si>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</si>
  <si>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</si>
  <si>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</si>
  <si>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</si>
  <si>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</si>
  <si>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</si>
  <si>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</si>
  <si>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</si>
  <si>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</si>
  <si>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</si>
  <si>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</si>
  <si>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</si>
  <si>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</si>
  <si>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</si>
  <si>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</si>
  <si>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</si>
  <si>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</si>
  <si>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</si>
  <si>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</si>
  <si>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</si>
  <si>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</si>
  <si>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</si>
  <si>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</si>
  <si>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</si>
  <si>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</si>
  <si>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</si>
  <si>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</si>
  <si>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</si>
  <si>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</si>
  <si>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</si>
  <si>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</si>
  <si>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</si>
  <si>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</si>
  <si>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</si>
  <si>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</si>
  <si>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</si>
  <si>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</si>
  <si>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</si>
  <si>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</si>
  <si>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</si>
  <si>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</si>
  <si>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</si>
  <si>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</si>
  <si>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</si>
  <si>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</si>
  <si>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</si>
  <si>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</si>
  <si>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</si>
  <si>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</si>
  <si>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</si>
  <si>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</si>
  <si>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</si>
  <si>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</si>
  <si>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</si>
  <si>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</si>
  <si>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</si>
  <si>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</si>
  <si>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</si>
  <si>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</si>
  <si>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</si>
  <si>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</si>
  <si>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</si>
  <si>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</si>
  <si>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</si>
  <si>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</si>
  <si>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</si>
  <si>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</si>
  <si>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</si>
  <si>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</si>
  <si>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</si>
  <si>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</si>
  <si>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</si>
  <si>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</si>
  <si>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</si>
  <si>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</si>
  <si>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</si>
  <si>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</si>
  <si>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</si>
  <si>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</si>
  <si>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</si>
  <si>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</si>
  <si>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</si>
  <si>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</si>
  <si>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</si>
  <si>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</si>
  <si>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</si>
  <si>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</si>
  <si>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</si>
  <si>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</si>
  <si>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</si>
  <si>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</si>
  <si>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</si>
  <si>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</si>
  <si>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</si>
  <si>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</si>
  <si>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</si>
  <si>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</si>
  <si>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</si>
  <si>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</si>
  <si>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</si>
  <si>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</si>
  <si>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</si>
  <si>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</si>
  <si>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</si>
  <si>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</si>
  <si>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</si>
  <si>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</si>
  <si>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</si>
  <si>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</si>
  <si>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</si>
  <si>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</si>
  <si>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</si>
  <si>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</si>
  <si>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</si>
  <si>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</si>
  <si>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</si>
  <si>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</si>
  <si>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</si>
  <si>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</si>
  <si>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</si>
  <si>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</si>
  <si>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</si>
  <si>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</si>
  <si>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</si>
  <si>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</si>
  <si>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</si>
  <si>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</si>
  <si>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</si>
  <si>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</si>
  <si>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</si>
  <si>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</si>
  <si>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</si>
  <si>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</si>
  <si>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</si>
  <si>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</si>
  <si>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</si>
  <si>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</si>
  <si>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</si>
  <si>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</si>
  <si>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</si>
  <si>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</si>
  <si>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</si>
  <si>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</si>
  <si>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</si>
  <si>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</si>
  <si>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</si>
  <si>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</si>
  <si>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</si>
  <si>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</si>
  <si>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</si>
  <si>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</si>
  <si>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</si>
  <si>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</si>
  <si>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</si>
  <si>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</si>
  <si>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</si>
  <si>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</si>
  <si>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</si>
  <si>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</si>
  <si>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</si>
  <si>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</si>
  <si>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</si>
  <si>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</si>
  <si>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</si>
  <si>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</si>
  <si>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</si>
  <si>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</si>
  <si>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</si>
  <si>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</si>
  <si>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</si>
  <si>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</si>
  <si>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</si>
  <si>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</si>
  <si>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</si>
  <si>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</si>
  <si>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</si>
  <si>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</si>
  <si>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</si>
  <si>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</si>
  <si>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</si>
  <si>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</si>
  <si>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</si>
  <si>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</si>
  <si>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</si>
  <si>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</si>
  <si>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</si>
  <si>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</si>
  <si>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</si>
  <si>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</si>
  <si>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</si>
  <si>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</si>
  <si>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</si>
  <si>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</si>
  <si>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</si>
  <si>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</si>
  <si>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</si>
  <si>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</si>
  <si>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</si>
  <si>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</si>
  <si>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</si>
  <si>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</si>
  <si>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</si>
  <si>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</si>
  <si>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</si>
  <si>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</si>
  <si>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</si>
  <si>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</si>
  <si>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</si>
  <si>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</si>
  <si>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</si>
  <si>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</si>
  <si>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</si>
  <si>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</si>
  <si>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</si>
  <si>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</si>
  <si>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</si>
  <si>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</si>
  <si>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</si>
  <si>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</si>
  <si>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</si>
  <si>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</si>
  <si>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</si>
  <si>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</si>
  <si>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</si>
  <si>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</si>
  <si>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</si>
  <si>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</si>
  <si>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</si>
  <si>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</si>
  <si>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</si>
  <si>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</si>
  <si>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</si>
  <si>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</si>
  <si>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</si>
  <si>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</si>
  <si>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</si>
  <si>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</si>
  <si>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</si>
  <si>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</si>
  <si>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</si>
  <si>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</si>
  <si>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</si>
  <si>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</si>
  <si>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</si>
  <si>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</si>
  <si>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</si>
  <si>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</si>
  <si>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</si>
  <si>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</si>
  <si>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</si>
  <si>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</si>
  <si>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</si>
  <si>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</si>
  <si>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</si>
  <si>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</si>
  <si>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</si>
  <si>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</si>
  <si>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</si>
  <si>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</si>
  <si>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</si>
  <si>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</si>
  <si>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</si>
  <si>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</si>
  <si>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</si>
  <si>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</si>
  <si>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</si>
  <si>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</si>
  <si>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</si>
  <si>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</si>
  <si>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</si>
  <si>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</si>
  <si>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</si>
  <si>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</si>
  <si>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</si>
  <si>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</si>
  <si>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</si>
  <si>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</si>
  <si>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</si>
  <si>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</si>
  <si>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</si>
  <si>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</si>
  <si>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</si>
  <si>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</si>
  <si>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</si>
  <si>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</si>
  <si>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</si>
  <si>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</si>
  <si>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</si>
  <si>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</si>
  <si>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</si>
  <si>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</si>
  <si>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</si>
  <si>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</si>
  <si>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</si>
  <si>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</si>
  <si>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</si>
  <si>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</si>
  <si>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</si>
  <si>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</si>
  <si>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</si>
  <si>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</si>
  <si>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</si>
  <si>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</si>
  <si>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</si>
  <si>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</si>
  <si>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</si>
  <si>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</si>
  <si>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</si>
  <si>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</si>
  <si>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</si>
  <si>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</si>
  <si>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</si>
  <si>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</si>
  <si>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</si>
  <si>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</si>
  <si>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</si>
  <si>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</si>
  <si>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</si>
  <si>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</si>
  <si>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</si>
  <si>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</si>
  <si>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</si>
  <si>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</si>
  <si>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</si>
  <si>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</si>
  <si>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</si>
  <si>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</si>
  <si>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</si>
  <si>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</si>
  <si>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</si>
  <si>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</si>
  <si>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</si>
  <si>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</si>
  <si>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</si>
  <si>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</si>
  <si>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</si>
  <si>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</si>
  <si>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</si>
  <si>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</si>
  <si>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</si>
  <si>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</si>
  <si>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</si>
  <si>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</si>
  <si>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</si>
  <si>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</si>
  <si>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</si>
  <si>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</si>
  <si>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</si>
  <si>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</si>
  <si>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</si>
  <si>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</si>
  <si>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</si>
  <si>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</si>
  <si>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</si>
  <si>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</si>
  <si>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</si>
  <si>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</si>
  <si>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</si>
  <si>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</si>
  <si>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</si>
  <si>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</si>
  <si>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</si>
  <si>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</si>
  <si>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</si>
  <si>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</si>
  <si>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</si>
  <si>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</si>
  <si>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</si>
  <si>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</si>
  <si>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</si>
  <si>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</si>
  <si>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</si>
  <si>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</si>
  <si>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</si>
  <si>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</si>
  <si>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</si>
  <si>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</si>
  <si>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</si>
  <si>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</si>
  <si>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</si>
  <si>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</si>
  <si>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</si>
  <si>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</si>
  <si>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</si>
  <si>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</si>
  <si>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</si>
  <si>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</si>
  <si>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</si>
  <si>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</si>
  <si>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</si>
  <si>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</si>
  <si>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</si>
  <si>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</si>
  <si>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</si>
  <si>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</si>
  <si>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</si>
  <si>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</si>
  <si>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</si>
  <si>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</si>
  <si>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</si>
  <si>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</si>
  <si>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</si>
  <si>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</si>
  <si>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</si>
  <si>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</si>
  <si>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</si>
  <si>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</si>
  <si>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</si>
  <si>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</si>
  <si>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</si>
  <si>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</si>
  <si>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</si>
  <si>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</si>
  <si>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</si>
  <si>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</si>
  <si>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</si>
  <si>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</si>
  <si>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</si>
  <si>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</si>
  <si>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</si>
  <si>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</si>
  <si>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</si>
  <si>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</si>
  <si>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</si>
  <si>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</si>
  <si>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</si>
  <si>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</si>
  <si>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</si>
  <si>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</si>
  <si>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</si>
  <si>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</si>
  <si>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</si>
  <si>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</si>
  <si>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</si>
  <si>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</si>
  <si>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</si>
  <si>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</si>
  <si>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</si>
  <si>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</si>
  <si>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</si>
  <si>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</si>
  <si>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</si>
  <si>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</si>
  <si>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</si>
  <si>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</si>
  <si>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</si>
  <si>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</si>
  <si>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</si>
  <si>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</si>
  <si>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</si>
  <si>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</si>
  <si>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</si>
  <si>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</si>
  <si>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</si>
  <si>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</si>
  <si>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</si>
  <si>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</si>
  <si>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</si>
  <si>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</si>
  <si>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</si>
  <si>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</si>
  <si>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</si>
  <si>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</si>
  <si>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</si>
  <si>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</si>
  <si>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</si>
  <si>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</si>
  <si>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</si>
  <si>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</si>
  <si>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</si>
  <si>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</si>
  <si>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</si>
  <si>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</si>
  <si>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</si>
  <si>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</si>
  <si>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</si>
  <si>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</si>
  <si>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</si>
  <si>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</si>
  <si>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</si>
  <si>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</si>
  <si>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</si>
  <si>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</si>
  <si>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</si>
  <si>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</si>
  <si>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</si>
  <si>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</si>
  <si>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</si>
  <si>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</si>
  <si>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</si>
  <si>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</si>
  <si>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</si>
  <si>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</si>
  <si>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</si>
  <si>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</si>
  <si>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</si>
  <si>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</si>
  <si>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</si>
  <si>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</si>
  <si>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</si>
  <si>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</si>
  <si>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</si>
  <si>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</si>
  <si>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</si>
  <si>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</si>
  <si>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</si>
  <si>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</si>
  <si>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</si>
  <si>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</si>
  <si>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</si>
  <si>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</si>
  <si>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</si>
  <si>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</si>
  <si>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</si>
  <si>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</si>
  <si>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</si>
  <si>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</si>
  <si>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</si>
  <si>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</si>
  <si>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</si>
  <si>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</si>
  <si>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</si>
  <si>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</si>
  <si>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</si>
  <si>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</si>
  <si>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</si>
  <si>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</si>
  <si>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</si>
  <si>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</si>
  <si>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</si>
  <si>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</si>
  <si>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</si>
  <si>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</si>
  <si>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</si>
  <si>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</si>
  <si>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</si>
  <si>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</si>
  <si>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</si>
  <si>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</si>
  <si>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</si>
  <si>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</si>
  <si>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</si>
  <si>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</si>
  <si>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</si>
  <si>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</si>
  <si>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</si>
  <si>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</si>
  <si>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</si>
  <si>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</si>
  <si>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</si>
  <si>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</si>
  <si>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</si>
  <si>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</si>
  <si>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</si>
  <si>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</si>
  <si>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</si>
  <si>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</si>
  <si>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</si>
  <si>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</si>
  <si>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</si>
  <si>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</si>
  <si>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</si>
  <si>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</si>
  <si>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</si>
  <si>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</si>
  <si>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</si>
  <si>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</si>
  <si>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</si>
  <si>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</si>
  <si>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</si>
  <si>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</si>
  <si>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</si>
  <si>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</si>
  <si>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</si>
  <si>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</si>
  <si>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</si>
  <si>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</si>
  <si>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</si>
  <si>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</si>
  <si>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</si>
  <si>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</si>
  <si>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</si>
  <si>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</si>
  <si>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</si>
  <si>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</si>
  <si>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</si>
  <si>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</si>
  <si>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</si>
  <si>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</si>
  <si>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</si>
  <si>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</si>
  <si>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</si>
  <si>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</si>
  <si>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</si>
  <si>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</si>
  <si>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</si>
  <si>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</si>
  <si>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</si>
  <si>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</si>
  <si>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</si>
  <si>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</si>
  <si>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</si>
  <si>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</si>
  <si>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</si>
  <si>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</si>
  <si>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</si>
  <si>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</si>
  <si>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</si>
  <si>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</si>
  <si>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</si>
  <si>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</si>
  <si>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</si>
  <si>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</si>
  <si>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</si>
  <si>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</si>
  <si>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</si>
  <si>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</si>
  <si>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</si>
  <si>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</si>
  <si>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</si>
  <si>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</si>
  <si>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</si>
  <si>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</si>
  <si>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</si>
  <si>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</si>
  <si>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</si>
  <si>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</si>
  <si>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</si>
  <si>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</si>
  <si>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</si>
  <si>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</si>
  <si>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</si>
  <si>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</si>
  <si>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</si>
  <si>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</si>
  <si>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</si>
  <si>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</si>
  <si>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</si>
  <si>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</si>
  <si>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</si>
  <si>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</si>
  <si>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</si>
  <si>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</si>
  <si>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</si>
  <si>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</si>
  <si>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</si>
  <si>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</si>
  <si>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</si>
  <si>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</si>
  <si>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</si>
  <si>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</si>
  <si>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</si>
  <si>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</si>
  <si>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</si>
  <si>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</si>
  <si>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</si>
  <si>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</si>
  <si>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</si>
  <si>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</si>
  <si>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</si>
  <si>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</si>
  <si>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</si>
  <si>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</si>
  <si>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</si>
  <si>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</si>
  <si>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</si>
  <si>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</si>
  <si>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</si>
  <si>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</si>
  <si>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</si>
  <si>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</si>
  <si>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</si>
  <si>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</si>
  <si>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</si>
  <si>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</si>
  <si>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</si>
  <si>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</si>
  <si>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</si>
  <si>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</si>
  <si>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</si>
  <si>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</si>
  <si>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</si>
  <si>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</si>
  <si>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</si>
  <si>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</si>
  <si>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</si>
  <si>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</si>
  <si>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</si>
  <si>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</si>
  <si>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</si>
  <si>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</si>
  <si>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</si>
  <si>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</si>
  <si>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</si>
  <si>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</si>
  <si>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</si>
  <si>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</si>
  <si>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</si>
  <si>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</si>
  <si>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</si>
  <si>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</si>
  <si>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</si>
  <si>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</si>
  <si>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</si>
  <si>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</si>
  <si>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</si>
  <si>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</si>
  <si>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</si>
  <si>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</si>
  <si>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</si>
  <si>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</si>
  <si>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</si>
  <si>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</si>
  <si>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</si>
  <si>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</si>
  <si>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</si>
  <si>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</si>
  <si>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</si>
  <si>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</si>
  <si>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</si>
  <si>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</si>
  <si>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</si>
  <si>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</si>
  <si>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</si>
  <si>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</si>
  <si>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</si>
  <si>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</si>
  <si>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</si>
  <si>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</si>
  <si>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</si>
  <si>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</si>
  <si>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</si>
  <si>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</si>
  <si>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</si>
  <si>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</si>
  <si>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</si>
  <si>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</si>
  <si>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</si>
  <si>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</si>
  <si>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</si>
  <si>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</si>
  <si>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</si>
  <si>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</si>
  <si>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</si>
  <si>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</si>
  <si>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</si>
  <si>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</si>
  <si>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</si>
  <si>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</si>
  <si>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</si>
  <si>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</si>
  <si>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</si>
  <si>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</si>
  <si>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</si>
  <si>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</si>
  <si>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</si>
  <si>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</si>
  <si>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</si>
  <si>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</si>
  <si>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</si>
  <si>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</si>
  <si>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</si>
  <si>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</si>
  <si>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</si>
  <si>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</si>
  <si>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</si>
  <si>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</si>
  <si>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</si>
  <si>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</si>
  <si>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</si>
  <si>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</si>
  <si>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</si>
  <si>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</si>
  <si>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</si>
  <si>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</si>
  <si>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</si>
  <si>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</si>
  <si>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</si>
  <si>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</si>
  <si>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</si>
  <si>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</si>
  <si>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</si>
  <si>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</si>
  <si>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</si>
  <si>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</si>
  <si>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</si>
  <si>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</si>
  <si>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</si>
  <si>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</si>
  <si>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</si>
  <si>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</si>
  <si>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</si>
  <si>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</si>
  <si>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</si>
  <si>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</si>
  <si>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</si>
  <si>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</si>
  <si>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</si>
  <si>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</si>
  <si>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</si>
  <si>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</si>
  <si>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</si>
  <si>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</si>
  <si>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</si>
  <si>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</si>
  <si>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</si>
  <si>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</si>
  <si>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</si>
  <si>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</si>
  <si>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</si>
  <si>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</si>
  <si>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</si>
  <si>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</si>
  <si>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</si>
  <si>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</si>
  <si>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</si>
  <si>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</si>
  <si>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</si>
  <si>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</si>
  <si>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</si>
  <si>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</si>
  <si>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</si>
  <si>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</si>
  <si>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</si>
  <si>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</si>
  <si>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</si>
  <si>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</si>
  <si>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</si>
  <si>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</si>
  <si>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</si>
  <si>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</si>
  <si>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</si>
  <si>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</si>
  <si>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</si>
  <si>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</si>
  <si>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</si>
  <si>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</si>
  <si>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</si>
  <si>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</si>
  <si>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</si>
  <si>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</si>
  <si>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</si>
  <si>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</si>
  <si>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</si>
  <si>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</si>
  <si>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</si>
  <si>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</si>
  <si>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</si>
  <si>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</si>
  <si>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</si>
  <si>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</si>
  <si>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</si>
  <si>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</si>
  <si>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</si>
  <si>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</si>
  <si>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</si>
  <si>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</si>
  <si>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</si>
  <si>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</si>
  <si>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</si>
  <si>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</si>
  <si>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</si>
  <si>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</si>
  <si>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</si>
  <si>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</si>
  <si>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</si>
  <si>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</si>
  <si>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</si>
  <si>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</si>
  <si>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</si>
  <si>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</si>
  <si>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</si>
  <si>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</si>
  <si>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</si>
  <si>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</si>
  <si>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</si>
  <si>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</si>
  <si>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</si>
  <si>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</si>
  <si>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</si>
  <si>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</si>
  <si>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</si>
  <si>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</si>
  <si>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</si>
  <si>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</si>
  <si>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</si>
  <si>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</si>
  <si>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</si>
  <si>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</si>
  <si>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</si>
  <si>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</si>
  <si>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</si>
  <si>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</si>
  <si>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</si>
  <si>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</si>
  <si>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</si>
  <si>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</si>
  <si>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</si>
  <si>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</si>
  <si>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</si>
  <si>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</si>
  <si>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</si>
  <si>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</si>
  <si>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</si>
  <si>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</si>
  <si>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</si>
  <si>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</si>
  <si>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</si>
  <si>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</si>
  <si>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</si>
  <si>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</si>
  <si>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</si>
  <si>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</si>
  <si>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</si>
  <si>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</si>
  <si>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</si>
  <si>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</si>
  <si>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</si>
  <si>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</si>
  <si>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</si>
  <si>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</si>
  <si>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</si>
  <si>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</si>
  <si>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</si>
  <si>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</si>
  <si>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</si>
  <si>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</si>
  <si>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</si>
  <si>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</si>
  <si>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</si>
  <si>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</si>
  <si>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</si>
  <si>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</si>
  <si>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</si>
  <si>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</si>
  <si>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</si>
  <si>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</si>
  <si>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</si>
  <si>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</si>
  <si>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</si>
  <si>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</si>
  <si>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</si>
  <si>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</si>
  <si>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</si>
  <si>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</si>
  <si>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</si>
  <si>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</si>
  <si>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</si>
  <si>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</si>
  <si>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</si>
  <si>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</si>
  <si>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</si>
  <si>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</si>
  <si>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</si>
  <si>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</si>
  <si>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</si>
  <si>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</si>
  <si>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</si>
  <si>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</si>
  <si>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</si>
  <si>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</si>
  <si>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</si>
  <si>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</si>
  <si>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</si>
  <si>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</si>
  <si>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</si>
  <si>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</si>
  <si>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</si>
  <si>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</si>
  <si>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</si>
  <si>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</si>
  <si>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</si>
  <si>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</si>
  <si>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</si>
  <si>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</si>
  <si>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</si>
  <si>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</si>
  <si>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</si>
  <si>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</si>
  <si>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</si>
  <si>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</si>
  <si>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</si>
  <si>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</si>
  <si>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</si>
  <si>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</si>
  <si>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</si>
  <si>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</si>
  <si>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</si>
  <si>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</si>
  <si>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</si>
  <si>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</si>
  <si>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</si>
  <si>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</si>
  <si>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</si>
  <si>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</si>
  <si>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</si>
  <si>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</si>
  <si>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</si>
  <si>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</si>
  <si>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</si>
  <si>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</si>
  <si>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</si>
  <si>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</si>
  <si>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</si>
  <si>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</si>
  <si>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</si>
  <si>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</si>
  <si>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</si>
  <si>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</si>
  <si>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</si>
  <si>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</si>
  <si>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</si>
  <si>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</si>
  <si>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</si>
  <si>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</si>
  <si>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</si>
  <si>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</si>
  <si>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</si>
  <si>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</si>
  <si>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</si>
  <si>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</si>
  <si>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</si>
  <si>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</si>
  <si>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</si>
  <si>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</si>
  <si>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</si>
  <si>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</si>
  <si>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</si>
  <si>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</si>
  <si>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</si>
  <si>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</si>
  <si>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</si>
  <si>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</si>
  <si>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</si>
  <si>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</si>
  <si>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</si>
  <si>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</si>
  <si>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</si>
  <si>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</si>
  <si>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</si>
  <si>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</si>
  <si>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</si>
  <si>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</si>
  <si>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</si>
  <si>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</si>
  <si>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</si>
  <si>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</si>
  <si>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</si>
  <si>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</si>
  <si>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</si>
  <si>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</si>
  <si>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</si>
  <si>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</si>
  <si>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</si>
  <si>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</si>
  <si>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</si>
  <si>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</si>
  <si>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</si>
  <si>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</si>
  <si>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</si>
  <si>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</si>
  <si>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</si>
  <si>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</si>
  <si>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</si>
  <si>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</si>
  <si>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</si>
  <si>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</si>
  <si>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</si>
  <si>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</si>
  <si>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</si>
  <si>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</si>
  <si>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</si>
  <si>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</si>
  <si>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</si>
  <si>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</si>
  <si>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</si>
  <si>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</si>
  <si>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</si>
  <si>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</si>
  <si>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</si>
  <si>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</si>
  <si>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</si>
  <si>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</si>
  <si>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</si>
  <si>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</si>
  <si>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</si>
  <si>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</si>
  <si>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</si>
  <si>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</si>
  <si>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</si>
  <si>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</si>
  <si>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</si>
  <si>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</si>
  <si>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</si>
  <si>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</si>
  <si>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</si>
  <si>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</si>
  <si>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</si>
  <si>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</si>
  <si>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</si>
  <si>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</si>
  <si>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</si>
  <si>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</si>
  <si>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</si>
  <si>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</si>
  <si>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</si>
  <si>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</si>
  <si>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</si>
  <si>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</si>
  <si>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</si>
  <si>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</si>
  <si>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</si>
  <si>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</si>
  <si>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</si>
  <si>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</si>
  <si>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</si>
  <si>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</si>
  <si>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</si>
  <si>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</si>
  <si>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</si>
  <si>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</si>
  <si>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</si>
  <si>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</si>
  <si>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</si>
  <si>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</si>
  <si>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</si>
  <si>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</si>
  <si>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</si>
  <si>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</si>
  <si>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</si>
  <si>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</si>
  <si>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</si>
  <si>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</si>
  <si>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</si>
  <si>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</si>
  <si>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</si>
  <si>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</si>
  <si>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</si>
  <si>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</si>
  <si>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</si>
  <si>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</si>
  <si>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</si>
  <si>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</si>
  <si>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</si>
  <si>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</si>
  <si>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</si>
  <si>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</si>
  <si>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</si>
  <si>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</si>
  <si>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</si>
  <si>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</si>
  <si>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</si>
  <si>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</si>
  <si>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</si>
  <si>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</si>
  <si>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</si>
  <si>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</si>
  <si>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</si>
  <si>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</si>
  <si>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</si>
  <si>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</si>
  <si>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</si>
  <si>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</si>
  <si>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</si>
  <si>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</si>
  <si>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</si>
  <si>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</si>
  <si>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</si>
  <si>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</si>
  <si>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</si>
  <si>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</si>
  <si>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</si>
  <si>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</si>
  <si>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</si>
  <si>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</si>
  <si>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</si>
  <si>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</si>
  <si>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</si>
  <si>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</si>
  <si>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</si>
  <si>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</si>
  <si>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</si>
  <si>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</si>
  <si>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</si>
  <si>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</si>
  <si>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</si>
  <si>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</si>
  <si>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</si>
  <si>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</si>
  <si>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</si>
  <si>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</si>
  <si>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</si>
  <si>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</si>
  <si>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</si>
  <si>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</si>
  <si>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</si>
  <si>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</si>
  <si>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</si>
  <si>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</si>
  <si>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</si>
  <si>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</si>
  <si>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</si>
  <si>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</si>
  <si>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</si>
  <si>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</si>
  <si>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</si>
  <si>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</si>
  <si>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</si>
  <si>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</si>
  <si>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</si>
  <si>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</si>
  <si>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</si>
  <si>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</si>
  <si>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</si>
  <si>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</si>
  <si>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</si>
  <si>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</si>
  <si>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</si>
  <si>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</si>
  <si>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</si>
  <si>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</si>
  <si>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</si>
  <si>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</si>
  <si>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</si>
  <si>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</si>
  <si>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</si>
  <si>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</si>
  <si>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</si>
  <si>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</si>
  <si>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</si>
  <si>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</si>
  <si>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</si>
  <si>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</si>
  <si>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</si>
  <si>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</si>
  <si>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</si>
  <si>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</si>
  <si>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</si>
  <si>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</si>
  <si>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</si>
  <si>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</si>
  <si>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</si>
  <si>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</si>
  <si>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</si>
  <si>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</si>
  <si>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</si>
  <si>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</si>
  <si>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</si>
  <si>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</si>
  <si>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</si>
  <si>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</si>
  <si>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</si>
  <si>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</si>
  <si>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</si>
  <si>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</si>
  <si>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</si>
  <si>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</si>
  <si>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</si>
  <si>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</si>
  <si>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</si>
  <si>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</si>
  <si>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</si>
  <si>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</si>
  <si>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</si>
  <si>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</si>
  <si>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</si>
  <si>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</si>
  <si>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</si>
  <si>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</si>
  <si>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</si>
  <si>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</si>
  <si>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</si>
  <si>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</si>
  <si>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</si>
  <si>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</si>
  <si>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</si>
  <si>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</si>
  <si>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</si>
  <si>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</si>
  <si>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</si>
  <si>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</si>
  <si>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</si>
  <si>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</si>
  <si>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</si>
  <si>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</si>
  <si>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</si>
  <si>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</si>
  <si>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</si>
  <si>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</si>
  <si>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</si>
  <si>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</si>
  <si>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</si>
  <si>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</si>
  <si>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</si>
  <si>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</si>
  <si>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</si>
  <si>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</si>
  <si>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</si>
  <si>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</si>
  <si>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</si>
  <si>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</si>
  <si>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</si>
  <si>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</si>
  <si>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</si>
  <si>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</si>
  <si>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</si>
  <si>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</si>
  <si>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</si>
  <si>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</si>
  <si>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</si>
  <si>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</si>
  <si>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</si>
  <si>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</si>
  <si>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</si>
  <si>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</si>
  <si>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</si>
  <si>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</si>
  <si>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</si>
  <si>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</si>
  <si>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</si>
  <si>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</si>
  <si>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</si>
  <si>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</si>
  <si>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</si>
  <si>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</si>
  <si>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</si>
  <si>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</si>
  <si>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</si>
  <si>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</si>
  <si>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</si>
  <si>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</si>
  <si>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</si>
  <si>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</si>
  <si>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</si>
  <si>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</si>
  <si>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</si>
  <si>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</si>
  <si>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</si>
  <si>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</si>
  <si>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</si>
  <si>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</si>
  <si>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</si>
  <si>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</si>
  <si>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</si>
  <si>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</si>
  <si>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</si>
  <si>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</si>
  <si>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</si>
  <si>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</si>
  <si>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</si>
  <si>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</si>
  <si>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</si>
  <si>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</si>
  <si>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</si>
  <si>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</si>
  <si>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</si>
  <si>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</si>
  <si>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</si>
  <si>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</si>
  <si>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</si>
  <si>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</si>
  <si>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</si>
  <si>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</si>
  <si>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</si>
  <si>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</si>
  <si>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</si>
  <si>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</si>
  <si>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</si>
  <si>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</si>
  <si>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</si>
  <si>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</si>
  <si>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</si>
  <si>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</si>
  <si>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</si>
  <si>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</si>
  <si>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</si>
  <si>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</si>
  <si>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</si>
  <si>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</si>
  <si>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</si>
  <si>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</si>
  <si>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</si>
  <si>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</si>
  <si>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</si>
  <si>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</si>
  <si>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</si>
  <si>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</si>
  <si>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</si>
  <si>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</si>
  <si>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</si>
  <si>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</si>
  <si>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</si>
  <si>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</si>
  <si>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</si>
  <si>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</si>
  <si>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</si>
  <si>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</si>
  <si>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</si>
  <si>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</si>
  <si>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</si>
  <si>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</si>
  <si>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</si>
  <si>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</si>
  <si>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</si>
  <si>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</si>
  <si>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</si>
  <si>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</si>
  <si>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</si>
  <si>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</si>
  <si>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</si>
  <si>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</si>
  <si>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</si>
  <si>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</si>
  <si>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</si>
  <si>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</si>
  <si>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</si>
  <si>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</si>
  <si>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</si>
  <si>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</si>
  <si>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</si>
  <si>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</si>
  <si>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</si>
  <si>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</si>
  <si>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</si>
  <si>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</si>
  <si>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</si>
  <si>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</si>
  <si>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</si>
  <si>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</si>
  <si>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</si>
  <si>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</si>
  <si>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</si>
  <si>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</si>
  <si>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</si>
  <si>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</si>
  <si>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</si>
  <si>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</si>
  <si>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</si>
  <si>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</si>
  <si>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</si>
  <si>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</si>
  <si>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</si>
  <si>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</si>
  <si>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</si>
  <si>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</si>
  <si>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</si>
  <si>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</si>
  <si>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</si>
  <si>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</si>
  <si>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</si>
  <si>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</si>
  <si>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</si>
  <si>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</si>
  <si>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</si>
  <si>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</si>
  <si>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</si>
  <si>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</si>
  <si>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</si>
  <si>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</si>
  <si>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</si>
  <si>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</si>
  <si>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</si>
  <si>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</si>
  <si>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</si>
  <si>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</si>
  <si>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</si>
  <si>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</si>
  <si>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</si>
  <si>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</si>
  <si>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</si>
  <si>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</si>
  <si>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</si>
  <si>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</si>
  <si>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</si>
  <si>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</si>
  <si>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</si>
  <si>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</si>
  <si>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</si>
  <si>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</si>
  <si>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</si>
  <si>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</si>
  <si>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</si>
  <si>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</si>
  <si>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</si>
  <si>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</si>
  <si>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</si>
  <si>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</si>
  <si>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</si>
  <si>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</si>
  <si>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</si>
  <si>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</si>
  <si>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</si>
  <si>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</si>
  <si>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</si>
  <si>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</si>
  <si>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</si>
  <si>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</si>
  <si>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</si>
  <si>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</si>
  <si>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</si>
  <si>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</si>
  <si>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</si>
  <si>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</si>
  <si>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</si>
  <si>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</si>
  <si>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</si>
  <si>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</si>
  <si>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</si>
  <si>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</si>
  <si>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</si>
  <si>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</si>
  <si>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</si>
  <si>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</si>
  <si>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</si>
  <si>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</si>
  <si>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</si>
  <si>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</si>
  <si>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</si>
  <si>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</si>
  <si>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</si>
  <si>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</si>
  <si>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</si>
  <si>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</si>
  <si>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</si>
  <si>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</si>
  <si>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</si>
  <si>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</si>
  <si>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</si>
  <si>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</si>
  <si>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</si>
  <si>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</si>
  <si>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</si>
  <si>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</si>
  <si>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</si>
  <si>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</si>
  <si>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</si>
  <si>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</si>
  <si>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</si>
  <si>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</si>
  <si>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</si>
  <si>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</si>
  <si>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</si>
  <si>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</si>
  <si>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</si>
  <si>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</si>
  <si>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</si>
  <si>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</si>
  <si>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</si>
  <si>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</si>
  <si>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</si>
  <si>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</si>
  <si>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</si>
  <si>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</si>
  <si>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</si>
  <si>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</si>
  <si>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</si>
  <si>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</si>
  <si>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</si>
  <si>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</si>
  <si>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</si>
  <si>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</si>
  <si>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</si>
  <si>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</si>
  <si>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</si>
  <si>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</si>
  <si>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</si>
  <si>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</si>
  <si>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</si>
  <si>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</si>
  <si>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</si>
  <si>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</si>
  <si>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</si>
  <si>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</si>
  <si>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</si>
  <si>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</si>
  <si>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</si>
  <si>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</si>
  <si>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</si>
  <si>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</si>
  <si>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</si>
  <si>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</si>
  <si>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</si>
  <si>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</si>
  <si>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</si>
  <si>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</si>
  <si>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</si>
  <si>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</si>
  <si>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</si>
  <si>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</si>
  <si>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</si>
  <si>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</si>
  <si>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</si>
  <si>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</si>
  <si>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</si>
  <si>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</si>
  <si>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</si>
  <si>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</si>
  <si>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</si>
  <si>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</si>
  <si>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</si>
  <si>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</si>
  <si>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</si>
  <si>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</si>
  <si>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</si>
  <si>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</si>
  <si>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</si>
  <si>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</si>
  <si>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</si>
  <si>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</si>
  <si>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</si>
  <si>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</si>
  <si>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</si>
  <si>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</si>
  <si>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</si>
  <si>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</si>
  <si>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</si>
  <si>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</si>
  <si>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</si>
  <si>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</si>
  <si>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</si>
  <si>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</si>
  <si>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</si>
  <si>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</si>
  <si>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</si>
  <si>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</si>
  <si>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</si>
  <si>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</si>
  <si>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</si>
  <si>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</si>
  <si>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</si>
  <si>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</si>
  <si>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</si>
  <si>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</si>
  <si>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</si>
  <si>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</si>
  <si>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</si>
  <si>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</si>
  <si>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</si>
  <si>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</si>
  <si>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</si>
  <si>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</si>
  <si>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</si>
  <si>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</si>
  <si>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</si>
  <si>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</si>
  <si>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</si>
  <si>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</si>
  <si>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</si>
  <si>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</si>
  <si>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</si>
  <si>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</si>
  <si>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</si>
  <si>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</si>
  <si>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</si>
  <si>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</si>
  <si>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</si>
  <si>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</si>
  <si>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</si>
  <si>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</si>
  <si>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</si>
  <si>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</si>
  <si>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</si>
  <si>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</si>
  <si>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</si>
  <si>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</si>
  <si>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</si>
  <si>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</si>
  <si>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</si>
  <si>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</si>
  <si>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</si>
  <si>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</si>
  <si>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</si>
  <si>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</si>
  <si>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</si>
  <si>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</si>
  <si>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</si>
  <si>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</si>
  <si>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</si>
  <si>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</si>
  <si>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</si>
  <si>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</si>
  <si>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</si>
  <si>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</si>
  <si>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</si>
  <si>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</si>
  <si>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</si>
  <si>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</si>
  <si>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</si>
  <si>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</si>
  <si>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</si>
  <si>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</si>
  <si>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</si>
  <si>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</si>
  <si>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</si>
  <si>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</si>
  <si>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</si>
  <si>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</si>
  <si>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</si>
  <si>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</si>
  <si>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</si>
  <si>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</si>
  <si>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</si>
  <si>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</si>
  <si>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</si>
  <si>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</si>
  <si>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</si>
  <si>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</si>
  <si>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</si>
  <si>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</si>
  <si>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</si>
  <si>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</si>
  <si>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</si>
  <si>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</si>
  <si>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</si>
  <si>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</si>
  <si>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</si>
  <si>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</si>
  <si>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</si>
  <si>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</si>
  <si>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</si>
  <si>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</si>
  <si>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</si>
  <si>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</si>
  <si>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</si>
  <si>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</si>
  <si>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</si>
  <si>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</si>
  <si>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</si>
  <si>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</si>
  <si>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</si>
  <si>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</si>
  <si>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</si>
  <si>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</si>
  <si>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</si>
  <si>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</si>
  <si>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</si>
  <si>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</si>
  <si>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</si>
  <si>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</si>
  <si>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</si>
  <si>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</si>
  <si>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</si>
  <si>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</si>
  <si>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</si>
  <si>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</si>
  <si>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</si>
  <si>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</si>
  <si>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</si>
  <si>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</si>
  <si>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</si>
  <si>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</si>
  <si>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</si>
  <si>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</si>
  <si>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</si>
  <si>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</si>
  <si>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</si>
  <si>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</si>
  <si>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</si>
  <si>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</si>
  <si>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</si>
  <si>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</si>
  <si>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</si>
  <si>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</si>
  <si>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</si>
  <si>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</si>
  <si>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</si>
  <si>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</si>
  <si>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</si>
  <si>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</si>
  <si>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</si>
  <si>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</si>
  <si>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</si>
  <si>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</si>
  <si>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</si>
  <si>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</si>
  <si>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</si>
  <si>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</si>
  <si>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</si>
  <si>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</si>
  <si>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</si>
  <si>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</si>
  <si>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</si>
  <si>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</si>
  <si>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</si>
  <si>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</si>
  <si>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</si>
  <si>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</si>
  <si>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</si>
  <si>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</si>
  <si>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</si>
  <si>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</si>
  <si>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</si>
  <si>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</si>
  <si>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</si>
  <si>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</si>
  <si>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</si>
  <si>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</si>
  <si>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</si>
  <si>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</si>
  <si>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</si>
  <si>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</si>
  <si>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</si>
  <si>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</si>
  <si>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</si>
  <si>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</si>
  <si>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</si>
  <si>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</si>
  <si>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</si>
  <si>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</si>
  <si>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</si>
  <si>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</si>
  <si>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</si>
  <si>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</si>
  <si>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</si>
  <si>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</si>
  <si>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</si>
  <si>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</si>
  <si>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</si>
  <si>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</si>
  <si>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</si>
  <si>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</si>
  <si>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</si>
  <si>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</si>
  <si>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</si>
  <si>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</si>
  <si>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</si>
  <si>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</si>
  <si>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</si>
  <si>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</si>
  <si>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</si>
  <si>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</si>
  <si>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</si>
  <si>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</si>
  <si>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</si>
  <si>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</si>
  <si>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</si>
  <si>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</si>
  <si>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</si>
  <si>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</si>
  <si>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</si>
  <si>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</si>
  <si>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</si>
  <si>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</si>
  <si>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</si>
  <si>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</si>
  <si>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</si>
  <si>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</si>
  <si>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</si>
  <si>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</si>
  <si>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</si>
  <si>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</si>
  <si>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</si>
  <si>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</si>
  <si>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</si>
  <si>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</si>
  <si>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</si>
  <si>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</si>
  <si>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</si>
  <si>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</si>
  <si>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</si>
  <si>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</si>
  <si>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</si>
  <si>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</si>
  <si>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</si>
  <si>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</si>
  <si>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</si>
  <si>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</si>
  <si>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</si>
  <si>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</si>
  <si>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</si>
  <si>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</si>
  <si>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</si>
  <si>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</si>
  <si>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</si>
  <si>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</si>
  <si>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</si>
  <si>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</si>
  <si>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</si>
  <si>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</si>
  <si>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</si>
  <si>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</si>
  <si>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</si>
  <si>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</si>
  <si>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</si>
  <si>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</si>
  <si>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</si>
  <si>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</si>
  <si>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</si>
  <si>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</si>
  <si>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</si>
  <si>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</si>
  <si>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</si>
  <si>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</si>
  <si>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</si>
  <si>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</si>
  <si>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</si>
  <si>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</si>
  <si>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</si>
  <si>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</si>
  <si>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</si>
  <si>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</si>
  <si>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</si>
  <si>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</si>
  <si>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</si>
  <si>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</si>
  <si>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</si>
  <si>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</si>
  <si>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</si>
  <si>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</si>
  <si>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</si>
  <si>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</si>
  <si>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</si>
  <si>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</si>
  <si>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</si>
  <si>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</si>
  <si>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</si>
  <si>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</si>
  <si>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</si>
  <si>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</si>
  <si>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</si>
  <si>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</si>
  <si>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</si>
  <si>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</si>
  <si>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</si>
  <si>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</si>
  <si>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</si>
  <si>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</si>
  <si>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</si>
  <si>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</si>
  <si>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</si>
  <si>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</si>
  <si>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</si>
  <si>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</si>
  <si>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</si>
  <si>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</si>
  <si>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</si>
  <si>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</si>
  <si>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</si>
  <si>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</si>
  <si>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</si>
  <si>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</si>
  <si>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</si>
  <si>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</si>
  <si>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</si>
  <si>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</si>
  <si>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</si>
  <si>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</si>
  <si>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</si>
  <si>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</si>
  <si>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</si>
  <si>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</si>
  <si>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</si>
  <si>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</si>
  <si>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</si>
  <si>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</si>
  <si>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</si>
  <si>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</si>
  <si>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</si>
  <si>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</si>
  <si>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</si>
  <si>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</si>
  <si>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</si>
  <si>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</si>
  <si>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</si>
  <si>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</si>
  <si>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</si>
  <si>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</si>
  <si>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</si>
  <si>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</si>
  <si>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</si>
  <si>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</si>
  <si>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</si>
  <si>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</si>
  <si>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</si>
  <si>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</si>
  <si>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</si>
  <si>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</si>
  <si>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</si>
  <si>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</si>
  <si>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</si>
  <si>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</si>
  <si>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</si>
  <si>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</si>
  <si>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</si>
  <si>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</si>
  <si>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</si>
  <si>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</si>
  <si>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</si>
  <si>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</si>
  <si>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</si>
  <si>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</si>
  <si>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</si>
  <si>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</si>
  <si>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</si>
  <si>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</si>
  <si>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</si>
  <si>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</si>
  <si>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</si>
  <si>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</si>
  <si>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</si>
  <si>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</si>
  <si>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</si>
  <si>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</si>
  <si>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</si>
  <si>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</si>
  <si>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</si>
  <si>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</si>
  <si>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</si>
  <si>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</si>
  <si>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</si>
  <si>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</si>
  <si>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</si>
  <si>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</si>
  <si>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</si>
  <si>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</si>
  <si>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</si>
  <si>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</si>
  <si>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</si>
  <si>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</si>
  <si>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</si>
  <si>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</si>
  <si>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</si>
  <si>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</si>
  <si>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</si>
  <si>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</si>
  <si>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</si>
  <si>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</si>
  <si>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</si>
  <si>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</si>
  <si>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</si>
  <si>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</si>
  <si>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</si>
  <si>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</si>
  <si>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</si>
  <si>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</si>
  <si>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</si>
  <si>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</si>
  <si>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</si>
  <si>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</si>
  <si>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</si>
  <si>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</si>
  <si>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</si>
  <si>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</si>
  <si>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</si>
  <si>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</si>
  <si>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</si>
  <si>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</si>
  <si>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</si>
  <si>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</si>
  <si>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</si>
  <si>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</si>
  <si>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</si>
  <si>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</si>
  <si>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</si>
  <si>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</si>
  <si>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</si>
  <si>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</si>
  <si>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</si>
  <si>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</si>
  <si>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</si>
  <si>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</si>
  <si>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</si>
  <si>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</si>
  <si>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</si>
  <si>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</si>
  <si>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</si>
  <si>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</si>
  <si>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</si>
  <si>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</si>
  <si>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</si>
  <si>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</si>
  <si>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</si>
  <si>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</si>
  <si>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</si>
  <si>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</si>
  <si>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</si>
  <si>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</si>
  <si>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</si>
  <si>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</si>
  <si>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</si>
  <si>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</si>
  <si>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</si>
  <si>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</si>
  <si>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</si>
  <si>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</si>
  <si>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</si>
  <si>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</si>
  <si>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</si>
  <si>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</si>
  <si>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</si>
  <si>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</si>
  <si>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</si>
  <si>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</si>
  <si>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</si>
  <si>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</si>
  <si>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</si>
  <si>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</si>
  <si>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</si>
  <si>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</si>
  <si>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</si>
  <si>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</si>
  <si>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</si>
  <si>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</si>
  <si>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</si>
  <si>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</si>
  <si>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</si>
  <si>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</si>
  <si>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</si>
  <si>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</si>
  <si>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</si>
  <si>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</si>
  <si>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</si>
  <si>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</si>
  <si>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</si>
  <si>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</si>
  <si>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</si>
  <si>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</si>
  <si>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</si>
  <si>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</si>
  <si>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</si>
  <si>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</si>
  <si>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</si>
  <si>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</si>
  <si>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</si>
  <si>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</si>
  <si>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</si>
  <si>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</si>
  <si>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</si>
  <si>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</si>
  <si>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</si>
  <si>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</si>
  <si>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</si>
  <si>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</si>
  <si>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</si>
  <si>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</si>
  <si>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</si>
  <si>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</si>
  <si>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</si>
  <si>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</si>
  <si>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</si>
  <si>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</si>
  <si>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</si>
  <si>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</si>
  <si>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</si>
  <si>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</si>
  <si>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</si>
  <si>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</si>
  <si>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</si>
  <si>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</si>
  <si>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</si>
  <si>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</si>
  <si>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</si>
  <si>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</si>
  <si>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</si>
  <si>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</si>
  <si>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</si>
  <si>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</si>
  <si>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</si>
  <si>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</si>
  <si>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</si>
  <si>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</si>
  <si>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</si>
  <si>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</si>
  <si>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</si>
  <si>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</si>
  <si>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</si>
  <si>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</si>
  <si>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</si>
  <si>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</si>
  <si>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</si>
  <si>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</si>
  <si>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</si>
  <si>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</si>
  <si>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</si>
  <si>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</si>
  <si>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</si>
  <si>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</si>
  <si>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</si>
  <si>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</si>
  <si>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</si>
  <si>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</si>
  <si>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</si>
  <si>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</si>
  <si>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</si>
  <si>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</si>
  <si>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</si>
  <si>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</si>
  <si>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</si>
  <si>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</si>
  <si>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</si>
  <si>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</si>
  <si>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</si>
  <si>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</si>
  <si>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</si>
  <si>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</si>
  <si>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</si>
  <si>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</si>
  <si>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</si>
  <si>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</si>
  <si>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</si>
  <si>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</si>
  <si>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</si>
  <si>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</si>
  <si>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</si>
  <si>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</si>
  <si>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</si>
  <si>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</si>
  <si>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</si>
  <si>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</si>
  <si>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</si>
  <si>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</si>
  <si>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</si>
  <si>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</si>
  <si>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</si>
  <si>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</si>
  <si>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</si>
  <si>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</si>
  <si>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</si>
  <si>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</si>
  <si>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</si>
  <si>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</si>
  <si>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</si>
  <si>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</si>
  <si>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</si>
  <si>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</si>
  <si>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</si>
  <si>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</si>
  <si>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</si>
  <si>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</si>
  <si>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</si>
  <si>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</si>
  <si>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</si>
  <si>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</si>
  <si>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</si>
  <si>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</si>
  <si>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</si>
  <si>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</si>
  <si>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</si>
  <si>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</si>
  <si>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</si>
  <si>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</si>
  <si>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</si>
  <si>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</si>
  <si>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</si>
  <si>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</si>
  <si>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</si>
  <si>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</si>
  <si>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</si>
  <si>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</si>
  <si>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</si>
  <si>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</si>
  <si>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</si>
  <si>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</si>
  <si>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</si>
  <si>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</si>
  <si>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</si>
  <si>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</si>
  <si>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</si>
  <si>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</si>
  <si>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</si>
  <si>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</si>
  <si>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</si>
  <si>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</si>
  <si>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</si>
  <si>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</si>
  <si>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</si>
  <si>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</si>
  <si>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</si>
  <si>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</si>
  <si>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</si>
  <si>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</si>
  <si>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</si>
  <si>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</si>
  <si>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</si>
  <si>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</si>
  <si>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</si>
  <si>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</si>
  <si>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</si>
  <si>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</si>
  <si>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</si>
  <si>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</si>
  <si>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</si>
  <si>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</si>
  <si>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</si>
  <si>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</si>
  <si>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</si>
  <si>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</si>
  <si>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</si>
  <si>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</si>
  <si>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</si>
  <si>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</si>
  <si>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</si>
  <si>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</si>
  <si>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</si>
  <si>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</si>
  <si>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</si>
  <si>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</si>
  <si>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</si>
  <si>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</si>
  <si>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</si>
  <si>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</si>
  <si>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</si>
  <si>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</si>
  <si>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</si>
  <si>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</si>
  <si>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</si>
  <si>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</si>
  <si>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</si>
  <si>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</si>
  <si>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</si>
  <si>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</si>
  <si>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</si>
  <si>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</si>
  <si>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</si>
  <si>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</si>
  <si>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</si>
  <si>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</si>
  <si>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</si>
  <si>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</si>
  <si>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</si>
  <si>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</si>
  <si>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</si>
  <si>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</si>
  <si>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</si>
  <si>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</si>
  <si>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</si>
  <si>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</si>
  <si>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</si>
  <si>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</si>
  <si>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</si>
  <si>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</si>
  <si>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</si>
  <si>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</si>
  <si>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</si>
  <si>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</si>
  <si>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</si>
  <si>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</si>
  <si>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</si>
  <si>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</si>
  <si>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</si>
  <si>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</si>
  <si>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</si>
  <si>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</si>
  <si>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</si>
  <si>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</si>
  <si>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</si>
  <si>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</si>
  <si>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</si>
  <si>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</si>
  <si>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</si>
  <si>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</si>
  <si>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</si>
  <si>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</si>
  <si>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</si>
  <si>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</si>
  <si>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</si>
  <si>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</si>
  <si>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</si>
  <si>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</si>
  <si>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</si>
  <si>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</si>
  <si>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</si>
  <si>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</si>
  <si>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</si>
  <si>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</si>
  <si>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</si>
  <si>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</si>
  <si>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</si>
  <si>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</si>
  <si>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</si>
  <si>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</si>
  <si>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</si>
  <si>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</si>
  <si>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</si>
  <si>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</si>
  <si>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</si>
  <si>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</si>
  <si>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</si>
  <si>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</si>
  <si>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</si>
  <si>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</si>
  <si>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</si>
  <si>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</si>
  <si>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</si>
  <si>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</si>
  <si>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</si>
  <si>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</si>
  <si>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</si>
  <si>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</si>
  <si>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</si>
  <si>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</si>
  <si>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</si>
  <si>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</si>
  <si>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</si>
  <si>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</si>
  <si>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</si>
  <si>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</si>
  <si>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</si>
  <si>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</si>
  <si>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</si>
  <si>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</si>
  <si>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</si>
  <si>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</si>
  <si>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</si>
  <si>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</si>
  <si>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</si>
  <si>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</si>
  <si>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</si>
  <si>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</si>
  <si>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</si>
  <si>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</si>
  <si>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</si>
  <si>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</si>
  <si>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</si>
  <si>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</si>
  <si>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</si>
  <si>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</si>
  <si>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</si>
  <si>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</si>
  <si>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</si>
  <si>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</si>
  <si>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</si>
  <si>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</si>
  <si>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</si>
  <si>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</si>
  <si>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</si>
  <si>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</si>
  <si>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</si>
  <si>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</si>
  <si>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</si>
  <si>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</si>
  <si>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</si>
  <si>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</si>
  <si>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</si>
  <si>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</si>
  <si>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</si>
  <si>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</si>
  <si>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</si>
  <si>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</si>
  <si>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</si>
  <si>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</si>
  <si>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</si>
  <si>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</si>
  <si>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</si>
  <si>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</si>
  <si>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</si>
  <si>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</si>
  <si>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</si>
  <si>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</si>
  <si>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</si>
  <si>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</si>
  <si>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</si>
  <si>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</si>
  <si>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</si>
  <si>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</si>
  <si>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</si>
  <si>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</si>
  <si>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</si>
  <si>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</si>
  <si>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</si>
  <si>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</si>
  <si>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</si>
  <si>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</si>
  <si>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</si>
  <si>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</si>
  <si>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</si>
  <si>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</si>
  <si>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</si>
  <si>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</si>
  <si>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</si>
  <si>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</si>
  <si>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</si>
  <si>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</si>
  <si>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</si>
  <si>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</si>
  <si>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</si>
  <si>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</si>
  <si>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</si>
  <si>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</si>
  <si>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</si>
  <si>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</si>
  <si>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</si>
  <si>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</si>
  <si>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</si>
  <si>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</si>
  <si>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</si>
  <si>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</si>
  <si>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</si>
  <si>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</si>
  <si>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</si>
  <si>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</si>
  <si>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</si>
  <si>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</si>
  <si>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</si>
  <si>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</si>
  <si>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</si>
  <si>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</si>
  <si>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</si>
  <si>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</si>
  <si>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</si>
  <si>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</si>
  <si>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</si>
  <si>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</si>
  <si>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</si>
  <si>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</si>
  <si>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</si>
  <si>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</si>
  <si>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</si>
  <si>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</si>
  <si>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</si>
  <si>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</si>
  <si>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</si>
  <si>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</si>
  <si>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</si>
  <si>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</si>
  <si>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</si>
  <si>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</si>
  <si>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</si>
  <si>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</si>
  <si>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</si>
  <si>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</si>
  <si>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</si>
  <si>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</si>
  <si>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</si>
  <si>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</si>
  <si>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</si>
  <si>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</si>
  <si>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</si>
  <si>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</si>
  <si>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</si>
  <si>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</si>
  <si>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</si>
  <si>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</si>
  <si>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</si>
  <si>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</si>
  <si>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</si>
  <si>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</si>
  <si>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</si>
  <si>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</si>
  <si>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</si>
  <si>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</si>
  <si>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</si>
  <si>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</si>
  <si>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</si>
  <si>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</si>
  <si>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</si>
  <si>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</si>
  <si>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</si>
  <si>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</si>
  <si>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</si>
  <si>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</si>
  <si>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</si>
  <si>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</si>
  <si>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</si>
  <si>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</si>
  <si>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</si>
  <si>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</si>
  <si>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</si>
  <si>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</si>
  <si>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</si>
  <si>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</si>
  <si>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</si>
  <si>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</si>
  <si>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</si>
  <si>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</si>
  <si>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</si>
  <si>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</si>
  <si>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</si>
  <si>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</si>
  <si>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</si>
  <si>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</si>
  <si>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</si>
  <si>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</si>
  <si>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</si>
  <si>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</si>
  <si>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</si>
  <si>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</si>
  <si>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</si>
  <si>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</si>
  <si>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</si>
  <si>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</si>
  <si>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</si>
  <si>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</si>
  <si>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</si>
  <si>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</si>
  <si>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</si>
  <si>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</si>
  <si>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</si>
  <si>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</si>
  <si>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</si>
  <si>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</si>
  <si>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</si>
  <si>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</si>
  <si>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</si>
  <si>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</si>
  <si>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</si>
  <si>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</si>
  <si>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</si>
  <si>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</si>
  <si>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</si>
  <si>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</si>
  <si>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</si>
  <si>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</si>
  <si>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</si>
  <si>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</si>
  <si>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</si>
  <si>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</si>
  <si>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</si>
  <si>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</si>
  <si>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</si>
  <si>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</si>
  <si>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</si>
  <si>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</si>
  <si>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</si>
  <si>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</si>
  <si>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</si>
  <si>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</si>
  <si>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</si>
  <si>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</si>
  <si>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</si>
  <si>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</si>
  <si>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</si>
  <si>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</si>
  <si>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</si>
  <si>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</si>
  <si>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</si>
  <si>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</si>
  <si>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</si>
  <si>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</si>
  <si>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</si>
  <si>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</si>
  <si>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</si>
  <si>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</si>
  <si>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</si>
  <si>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</si>
  <si>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</si>
  <si>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</si>
  <si>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</si>
  <si>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</si>
  <si>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</si>
  <si>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</si>
  <si>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</si>
  <si>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</si>
  <si>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</si>
  <si>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</si>
  <si>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</si>
  <si>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</si>
  <si>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</si>
  <si>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</si>
  <si>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</si>
  <si>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</si>
  <si>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</si>
  <si>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</si>
  <si>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</si>
  <si>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</si>
  <si>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</si>
  <si>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</si>
  <si>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</si>
  <si>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</si>
  <si>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</si>
  <si>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</si>
  <si>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</si>
  <si>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</si>
  <si>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</si>
  <si>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</si>
  <si>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</si>
  <si>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</si>
  <si>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</si>
  <si>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</si>
  <si>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</si>
  <si>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</si>
  <si>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</si>
  <si>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</si>
  <si>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</si>
  <si>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</si>
  <si>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</si>
  <si>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</si>
  <si>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</si>
  <si>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</si>
  <si>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</si>
  <si>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</si>
  <si>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</si>
  <si>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</si>
  <si>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</si>
  <si>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</si>
  <si>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</si>
  <si>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</si>
  <si>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</si>
  <si>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</si>
  <si>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</si>
  <si>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</si>
  <si>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</si>
  <si>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</si>
  <si>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</si>
  <si>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</si>
  <si>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</si>
  <si>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</si>
  <si>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</si>
  <si>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</si>
  <si>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</si>
  <si>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</si>
  <si>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</si>
  <si>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</si>
  <si>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</si>
  <si>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</si>
  <si>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</si>
  <si>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</si>
  <si>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</si>
  <si>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</si>
  <si>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</si>
  <si>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</si>
  <si>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</si>
  <si>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</si>
  <si>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</si>
  <si>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</si>
  <si>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</si>
  <si>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</si>
  <si>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</si>
  <si>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</si>
  <si>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</si>
  <si>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</si>
  <si>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</si>
  <si>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</si>
  <si>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</si>
  <si>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</si>
  <si>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</si>
  <si>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</si>
  <si>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</si>
  <si>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</si>
  <si>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</si>
  <si>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</si>
  <si>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</si>
  <si>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</si>
  <si>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</si>
  <si>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</si>
  <si>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</si>
  <si>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</si>
  <si>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</si>
  <si>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</si>
  <si>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</si>
  <si>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</si>
  <si>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</si>
  <si>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</si>
  <si>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</si>
  <si>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</si>
  <si>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</si>
  <si>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</si>
  <si>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</si>
  <si>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</si>
  <si>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</si>
  <si>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</si>
  <si>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</si>
  <si>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</si>
  <si>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</si>
  <si>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</si>
  <si>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</si>
  <si>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</si>
  <si>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</si>
  <si>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</si>
  <si>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</si>
  <si>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</si>
  <si>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</si>
  <si>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</si>
  <si>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</si>
  <si>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</si>
  <si>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</si>
  <si>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</si>
  <si>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</si>
  <si>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</si>
  <si>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</si>
  <si>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</si>
  <si>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</si>
  <si>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</si>
  <si>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</si>
  <si>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</si>
  <si>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</si>
  <si>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</si>
  <si>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</si>
  <si>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</si>
  <si>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</si>
  <si>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</si>
  <si>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</si>
  <si>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</si>
  <si>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</si>
  <si>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</si>
  <si>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</si>
  <si>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</si>
  <si>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</si>
  <si>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</si>
  <si>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</si>
  <si>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</si>
  <si>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</si>
  <si>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</si>
  <si>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</si>
  <si>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</si>
  <si>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</si>
  <si>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</si>
  <si>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</si>
  <si>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</si>
  <si>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</si>
  <si>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</si>
  <si>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</si>
  <si>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</si>
  <si>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</si>
  <si>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</si>
  <si>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</si>
  <si>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</si>
  <si>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</si>
  <si>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</si>
  <si>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</si>
  <si>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</si>
  <si>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</si>
  <si>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</si>
  <si>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</si>
  <si>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</si>
  <si>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</si>
  <si>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</si>
  <si>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</si>
  <si>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</si>
  <si>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</si>
  <si>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</si>
  <si>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</si>
  <si>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</si>
  <si>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</si>
  <si>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</si>
  <si>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</si>
  <si>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</si>
  <si>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</si>
  <si>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</si>
  <si>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</si>
  <si>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</si>
  <si>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</si>
  <si>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</si>
  <si>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</si>
  <si>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</si>
  <si>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</si>
  <si>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</si>
  <si>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</si>
  <si>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</si>
  <si>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</si>
  <si>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</si>
  <si>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</si>
  <si>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</si>
  <si>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</si>
  <si>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</si>
  <si>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</si>
  <si>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</si>
  <si>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</si>
  <si>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</si>
  <si>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</si>
  <si>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</si>
  <si>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</si>
  <si>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</si>
  <si>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</si>
  <si>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</si>
  <si>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</si>
  <si>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</si>
  <si>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</si>
  <si>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</si>
  <si>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</si>
  <si>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</si>
  <si>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</si>
  <si>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</si>
  <si>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</si>
  <si>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</si>
  <si>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</si>
  <si>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</si>
  <si>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</si>
  <si>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</si>
  <si>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</si>
  <si>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</si>
  <si>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</si>
  <si>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</si>
  <si>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</si>
  <si>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</si>
  <si>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</si>
  <si>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</si>
  <si>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</si>
  <si>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</si>
  <si>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</si>
  <si>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</si>
  <si>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</si>
  <si>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</si>
  <si>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</si>
  <si>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</si>
  <si>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</si>
  <si>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</si>
  <si>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</si>
  <si>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</si>
  <si>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</si>
  <si>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</si>
  <si>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</si>
  <si>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</si>
  <si>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</si>
  <si>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</si>
  <si>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</si>
  <si>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</si>
  <si>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</si>
  <si>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</si>
  <si>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</si>
  <si>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</si>
  <si>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</si>
  <si>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</si>
  <si>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</si>
  <si>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</si>
  <si>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</si>
  <si>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</si>
  <si>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</si>
  <si>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</si>
  <si>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</si>
  <si>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</si>
  <si>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</si>
  <si>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</si>
  <si>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</si>
  <si>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</si>
  <si>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</si>
  <si>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</si>
  <si>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</si>
  <si>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</si>
  <si>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</si>
  <si>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</si>
  <si>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</si>
  <si>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</si>
  <si>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</si>
  <si>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</si>
  <si>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</si>
  <si>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</si>
  <si>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</si>
  <si>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</si>
  <si>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</si>
  <si>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</si>
  <si>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</si>
  <si>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</si>
  <si>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</si>
  <si>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</si>
  <si>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</si>
  <si>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</si>
  <si>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</si>
  <si>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</si>
  <si>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</si>
  <si>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</si>
  <si>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</si>
  <si>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</si>
  <si>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</si>
  <si>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</si>
  <si>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</si>
  <si>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</si>
  <si>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</si>
  <si>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</si>
  <si>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</si>
  <si>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</si>
  <si>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</si>
  <si>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</si>
  <si>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</si>
  <si>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</si>
  <si>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</si>
  <si>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</si>
  <si>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</si>
  <si>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</si>
  <si>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</si>
  <si>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</si>
  <si>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</si>
  <si>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</si>
  <si>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President</t>
  </si>
  <si>
    <t>LabJack Corporation</t>
  </si>
  <si>
    <t>All products produced by LabJack</t>
  </si>
  <si>
    <t>114917771</t>
  </si>
  <si>
    <t>DUNS</t>
  </si>
  <si>
    <t>6900 West Jefferson Ave., Suite 110, Lakewood, CO 80235</t>
  </si>
  <si>
    <t>Toby Stensland</t>
  </si>
  <si>
    <t>support@labjack.com</t>
  </si>
  <si>
    <t>303-942-0228</t>
  </si>
  <si>
    <t>https://labjack.com/blogs/faq/compliance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</si>
</sst>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labjack.com/blogs/faq/compliance" TargetMode="External"/><Relationship Id="rId2" Type="http://schemas.openxmlformats.org/officeDocument/2006/relationships/hyperlink" Target="mailto:support@labjack.com" TargetMode="External"/><Relationship Id="rId1" Type="http://schemas.openxmlformats.org/officeDocument/2006/relationships/hyperlink" Target="mailto:support@labjac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64999999999998"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6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6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6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75"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1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1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15" customHeight="1">
      <c r="A296" s="125" t="str">
        <f t="shared" si="13"/>
        <v>CheckerJ78</v>
      </c>
      <c r="B296" s="125" t="s">
        <v>1191</v>
      </c>
      <c r="C296" s="125" t="s">
        <v>19022</v>
      </c>
      <c r="G296"/>
      <c r="H296" s="274"/>
    </row>
    <row r="297" spans="1:9" ht="52.15" customHeight="1">
      <c r="A297" s="125" t="str">
        <f t="shared" si="13"/>
        <v>CheckerJ79</v>
      </c>
      <c r="B297" s="125" t="s">
        <v>1191</v>
      </c>
      <c r="C297" s="125" t="s">
        <v>19023</v>
      </c>
      <c r="G297"/>
      <c r="H297" s="274"/>
    </row>
    <row r="298" spans="1:9" ht="52.1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75"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6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65"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1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97B23D7-DD48-471A-8CAF-C5A27D4AFD66}"/>
    </customSheetView>
    <customSheetView guid="{4BDF1A28-30D5-449D-B20E-D6C97EF9FAE1}" showAutoFilter="1">
      <selection activeCell="C174" sqref="C174"/>
      <pageMargins left="0" right="0" top="0" bottom="0" header="0" footer="0"/>
      <pageSetup paperSize="9" orientation="portrait"/>
      <autoFilter ref="B1:N1" xr:uid="{24096018-4AD3-482F-8F15-8E898F61D3E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84F33D2-0D9F-4F7D-8450-20B67F38B3F3}"/>
    </customSheetView>
    <customSheetView guid="{4BDF1A28-30D5-449D-B20E-D6C97EF9FAE1}" showAutoFilter="1">
      <selection activeCell="C1" sqref="C1:D65536"/>
      <pageMargins left="0" right="0" top="0" bottom="0" header="0" footer="0"/>
      <pageSetup orientation="portrait"/>
      <autoFilter ref="B1:C1" xr:uid="{A0C8CC24-143A-4DFD-98C3-814A3A9B512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6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649999999999999"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650000000000006"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149999999999999"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1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6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15"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1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zoomScaleNormal="100" workbookViewId="0">
      <selection activeCell="G120" sqref="G120:J120"/>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9"/>
      <c r="B1" s="440"/>
      <c r="C1" s="440"/>
      <c r="D1" s="440"/>
      <c r="E1" s="440"/>
      <c r="F1" s="440"/>
      <c r="G1" s="440"/>
      <c r="H1" s="440"/>
      <c r="I1" s="440"/>
      <c r="J1" s="440"/>
      <c r="K1" s="441"/>
      <c r="L1" s="101"/>
      <c r="P1" s="2"/>
      <c r="Q1" s="2"/>
      <c r="R1" s="2"/>
      <c r="S1" s="2"/>
      <c r="T1" s="2"/>
      <c r="U1" s="2"/>
      <c r="V1" s="2"/>
      <c r="W1" s="2"/>
      <c r="X1" s="2"/>
      <c r="Y1" s="2"/>
      <c r="Z1" s="2"/>
      <c r="AA1" s="2"/>
      <c r="AB1" s="2"/>
      <c r="AC1" s="2"/>
      <c r="AD1" s="2"/>
      <c r="AE1" s="2"/>
      <c r="AF1" s="2"/>
      <c r="AG1" s="2"/>
      <c r="AH1" s="2"/>
    </row>
    <row r="2" spans="1:34" ht="81.75" customHeight="1">
      <c r="A2" s="27"/>
      <c r="B2" s="281"/>
      <c r="C2" s="28"/>
      <c r="D2" s="442" t="str">
        <f ca="1">OFFSET(L!$C$1,MATCH("Declaration"&amp;ADDRESS(ROW(),COLUMN(),4),L!$A:$A,0)-1,SL,,)</f>
        <v>Extended Minerals Reporting Template (EMRT)</v>
      </c>
      <c r="E2" s="443"/>
      <c r="F2" s="443"/>
      <c r="G2" s="443"/>
      <c r="H2" s="443"/>
      <c r="I2" s="443"/>
      <c r="J2" s="444"/>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8" t="str">
        <f ca="1">OFFSET(L!$C$1,MATCH("Declaration"&amp;ADDRESS(ROW(),COLUMN(),4),L!$A:$A,0)-1,SL,,)</f>
        <v>The purpose of this document is to collect sourcing information on below minerals.</v>
      </c>
      <c r="C4" s="448"/>
      <c r="D4" s="448"/>
      <c r="E4" s="448"/>
      <c r="F4" s="448"/>
      <c r="G4" s="448"/>
      <c r="H4" s="448"/>
      <c r="I4" s="452" t="str">
        <f ca="1">OFFSET(L!$C$1,MATCH("Declaration"&amp;ADDRESS(ROW(),COLUMN(),4),L!$A:$A,0)-1,SL,,)</f>
        <v>Link to Terms &amp; Conditions</v>
      </c>
      <c r="J4" s="452"/>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8" t="str">
        <f ca="1">OFFSET(L!$C$1,MATCH("Declaration"&amp;ADDRESS(ROW(),COLUMN(),4),L!$A:$A,0)-1,SL,,)</f>
        <v>Mandatory fields are noted with an asterisk (*).  Consult the instructions tab for guidance on how to answer each question.</v>
      </c>
      <c r="C6" s="448"/>
      <c r="D6" s="448"/>
      <c r="E6" s="448"/>
      <c r="F6" s="448"/>
      <c r="G6" s="448"/>
      <c r="H6" s="448"/>
      <c r="I6" s="448"/>
      <c r="J6" s="448"/>
      <c r="K6" s="29"/>
      <c r="L6" s="103" t="s">
        <v>18</v>
      </c>
      <c r="P6" s="2"/>
      <c r="Q6" s="2"/>
      <c r="R6" s="2"/>
      <c r="S6" s="2"/>
      <c r="T6" s="2"/>
      <c r="U6" s="2"/>
      <c r="V6" s="2"/>
      <c r="W6" s="2"/>
      <c r="X6" s="2"/>
      <c r="Y6" s="2"/>
      <c r="Z6" s="2"/>
      <c r="AA6" s="2"/>
      <c r="AB6" s="2"/>
      <c r="AC6" s="2"/>
      <c r="AD6" s="2"/>
      <c r="AE6" s="2"/>
      <c r="AF6" s="2"/>
      <c r="AG6" s="2"/>
      <c r="AH6" s="2"/>
    </row>
    <row r="7" spans="1:34" ht="15.75">
      <c r="A7" s="27"/>
      <c r="B7" s="453" t="str">
        <f ca="1">OFFSET(L!$C$1,MATCH("Declaration"&amp;ADDRESS(ROW(),COLUMN(),4),L!$A:$A,0)-1,SL,,)</f>
        <v>Company Information</v>
      </c>
      <c r="C7" s="453"/>
      <c r="D7" s="453"/>
      <c r="E7" s="453"/>
      <c r="F7" s="453"/>
      <c r="G7" s="453"/>
      <c r="H7" s="453"/>
      <c r="I7" s="453"/>
      <c r="J7" s="453"/>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5" t="s">
        <v>20162</v>
      </c>
      <c r="E8" s="446"/>
      <c r="F8" s="446"/>
      <c r="G8" s="446"/>
      <c r="H8" s="446"/>
      <c r="I8" s="446"/>
      <c r="J8" s="447"/>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4" t="str">
        <f ca="1">OFFSET(L!$C$1,MATCH("Declaration"&amp;ADDRESS(ROW(),COLUMN(),4)&amp;LEFT($D$9,1),L!$A:$A,0)-1,SL,,)</f>
        <v>Description of Scope:</v>
      </c>
      <c r="C10" s="111"/>
      <c r="D10" s="449" t="s">
        <v>20163</v>
      </c>
      <c r="E10" s="450"/>
      <c r="F10" s="450"/>
      <c r="G10" s="450"/>
      <c r="H10" s="450"/>
      <c r="I10" s="450"/>
      <c r="J10" s="451"/>
      <c r="K10" s="29"/>
      <c r="L10" s="103"/>
      <c r="Q10" s="2"/>
      <c r="R10" s="2"/>
      <c r="S10" s="2"/>
      <c r="T10" s="2"/>
      <c r="U10" s="2"/>
      <c r="V10" s="2"/>
      <c r="W10" s="2"/>
      <c r="X10" s="2"/>
      <c r="Y10" s="2"/>
      <c r="Z10" s="2"/>
      <c r="AA10" s="2"/>
      <c r="AB10" s="2"/>
      <c r="AC10" s="2"/>
      <c r="AD10" s="2"/>
      <c r="AE10" s="2"/>
      <c r="AF10" s="2"/>
      <c r="AG10" s="2"/>
      <c r="AH10" s="2"/>
    </row>
    <row r="11" spans="1:34" ht="15.75">
      <c r="A11" s="31"/>
      <c r="B11" s="455"/>
      <c r="C11" s="111"/>
      <c r="D11" s="456" t="str">
        <f ca="1">IF(D9=Q9,OFFSET(L!$C$1,MATCH("Declaration"&amp;ADDRESS(ROW(),COLUMN(),4),L!$A:$A,0)-1,SL,,),"")</f>
        <v/>
      </c>
      <c r="E11" s="457"/>
      <c r="F11" s="457"/>
      <c r="G11" s="457"/>
      <c r="H11" s="457"/>
      <c r="I11" s="457"/>
      <c r="J11" s="458"/>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9" t="s">
        <v>18684</v>
      </c>
      <c r="F12" s="460"/>
      <c r="G12" s="370" t="s">
        <v>19182</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9" t="s">
        <v>41</v>
      </c>
      <c r="F13" s="460"/>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1"/>
      <c r="C14" s="111"/>
      <c r="D14" s="296"/>
      <c r="E14" s="463"/>
      <c r="F14" s="464"/>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Lithium</v>
      </c>
      <c r="T14" s="294" t="str">
        <f t="shared" si="14"/>
        <v>Lithium</v>
      </c>
      <c r="U14" s="294" t="str">
        <f t="shared" si="13"/>
        <v>Lithium</v>
      </c>
      <c r="V14" s="294" t="str">
        <f t="shared" si="14"/>
        <v>Lithium</v>
      </c>
      <c r="W14" s="294" t="str">
        <f t="shared" si="13"/>
        <v>Lithium</v>
      </c>
      <c r="X14" s="294" t="str">
        <f t="shared" si="14"/>
        <v>Lithium</v>
      </c>
      <c r="Y14" s="294" t="str">
        <f t="shared" si="13"/>
        <v>Lithium</v>
      </c>
      <c r="Z14" s="294" t="str">
        <f t="shared" si="14"/>
        <v>Lithium</v>
      </c>
      <c r="AA14" s="294" t="str" cm="1">
        <f t="array" ref="AA14">_xlfn.IFNA(INDEX($Z$12:$Z$21,MATCH(0,COUNTIF($AA$12:$AA13,$Z$12:$Z$21),0)),"")</f>
        <v>Lithium</v>
      </c>
      <c r="AB14" s="2"/>
      <c r="AC14" s="2"/>
      <c r="AD14" s="2"/>
      <c r="AE14" s="2"/>
      <c r="AF14" s="2"/>
      <c r="AG14" s="2"/>
    </row>
    <row r="15" spans="1:34" ht="15.75">
      <c r="A15" s="31"/>
      <c r="B15" s="462"/>
      <c r="C15" s="111"/>
      <c r="D15" s="296"/>
      <c r="E15" s="463"/>
      <c r="F15" s="464"/>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
      </c>
      <c r="T15" s="294" t="str">
        <f t="shared" si="16"/>
        <v>Mica</v>
      </c>
      <c r="U15" s="294" t="str">
        <f t="shared" si="15"/>
        <v>Mica</v>
      </c>
      <c r="V15" s="294" t="str">
        <f t="shared" si="16"/>
        <v>Mica</v>
      </c>
      <c r="W15" s="294" t="str">
        <f t="shared" si="15"/>
        <v>Mica</v>
      </c>
      <c r="X15" s="294" t="str">
        <f t="shared" si="16"/>
        <v>Mica</v>
      </c>
      <c r="Y15" s="294" t="str">
        <f t="shared" si="15"/>
        <v>Mica</v>
      </c>
      <c r="Z15" s="294" t="str">
        <f t="shared" si="16"/>
        <v>Mica</v>
      </c>
      <c r="AA15" s="294" t="str" cm="1">
        <f t="array" ref="AA15">_xlfn.IFNA(INDEX($Z$12:$Z$21,MATCH(0,COUNTIF($AA$12:$AA14,$Z$12:$Z$21),0)),"")</f>
        <v>Mica</v>
      </c>
      <c r="AB15" s="2"/>
      <c r="AC15" s="2"/>
      <c r="AD15" s="2"/>
      <c r="AE15" s="2"/>
      <c r="AF15" s="2"/>
      <c r="AG15" s="2"/>
    </row>
    <row r="16" spans="1:34" ht="15.75">
      <c r="A16" s="31"/>
      <c r="B16" s="33" t="str">
        <f ca="1">OFFSET(L!$C$1,MATCH("Declaration"&amp;ADDRESS(ROW(),COLUMN(),4),L!$A:$A,0)-1,SL,,)</f>
        <v>Company Unique ID:</v>
      </c>
      <c r="C16" s="66"/>
      <c r="D16" s="425" t="s">
        <v>20164</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
      </c>
      <c r="U16" s="294" t="str">
        <f t="shared" si="17"/>
        <v>Nickel</v>
      </c>
      <c r="V16" s="294" t="str">
        <f t="shared" si="18"/>
        <v>Nickel</v>
      </c>
      <c r="W16" s="294" t="str">
        <f t="shared" si="17"/>
        <v>Nickel</v>
      </c>
      <c r="X16" s="294" t="str">
        <f t="shared" si="18"/>
        <v>Nickel</v>
      </c>
      <c r="Y16" s="294" t="str">
        <f t="shared" si="17"/>
        <v>Nickel</v>
      </c>
      <c r="Z16" s="294" t="str">
        <f t="shared" si="18"/>
        <v>Nickel</v>
      </c>
      <c r="AA16" s="294" t="str" cm="1">
        <f t="array" ref="AA16">_xlfn.IFNA(INDEX($Z$12:$Z$21,MATCH(0,COUNTIF($AA$12:$AA15,$Z$12:$Z$21),0)),"")</f>
        <v>Nickel</v>
      </c>
      <c r="AB16" s="2"/>
      <c r="AC16" s="2"/>
      <c r="AD16" s="2"/>
      <c r="AE16" s="2"/>
      <c r="AF16" s="2"/>
      <c r="AG16" s="2"/>
    </row>
    <row r="17" spans="1:33" ht="15.75">
      <c r="A17" s="31"/>
      <c r="B17" s="33" t="str">
        <f ca="1">OFFSET(L!$C$1,MATCH("Declaration"&amp;ADDRESS(ROW(),COLUMN(),4),L!$A:$A,0)-1,SL,,)</f>
        <v>Company Unique ID Authority:</v>
      </c>
      <c r="C17" s="66"/>
      <c r="D17" s="425" t="s">
        <v>20165</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20166</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65" customHeight="1">
      <c r="A19" s="31"/>
      <c r="B19" s="33" t="str">
        <f ca="1">OFFSET(L!$C$1,MATCH("Declaration"&amp;ADDRESS(ROW(),COLUMN(),4),L!$A:$A,0)-1,SL,,)</f>
        <v>Contact Name (*):</v>
      </c>
      <c r="C19" s="66"/>
      <c r="D19" s="425" t="s">
        <v>20167</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4" t="s">
        <v>20168</v>
      </c>
      <c r="E20" s="435"/>
      <c r="F20" s="435"/>
      <c r="G20" s="435"/>
      <c r="H20" s="435"/>
      <c r="I20" s="435"/>
      <c r="J20" s="436"/>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32" t="s">
        <v>20169</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20167</v>
      </c>
      <c r="E22" s="426"/>
      <c r="F22" s="426"/>
      <c r="G22" s="426"/>
      <c r="H22" s="426"/>
      <c r="I22" s="426"/>
      <c r="J22" s="427"/>
      <c r="K22" s="29"/>
      <c r="L22" s="97"/>
      <c r="Q22" s="2"/>
      <c r="R22" s="2"/>
      <c r="S22" s="2"/>
      <c r="T22" s="2"/>
      <c r="U22" s="2"/>
      <c r="V22" s="2"/>
      <c r="W22" s="2"/>
      <c r="X22" s="2"/>
      <c r="Y22" s="2"/>
      <c r="Z22" s="2"/>
      <c r="AA22" s="2">
        <f>10-COUNTIF(AA12:AA21,"")</f>
        <v>5</v>
      </c>
      <c r="AB22" s="2"/>
      <c r="AC22" s="2"/>
      <c r="AD22" s="2"/>
      <c r="AE22" s="2"/>
      <c r="AF22" s="2"/>
      <c r="AG22" s="2"/>
    </row>
    <row r="23" spans="1:33" ht="22.5">
      <c r="A23" s="31"/>
      <c r="B23" s="33" t="str">
        <f ca="1">OFFSET(L!$C$1,MATCH("Declaration"&amp;ADDRESS(ROW(),COLUMN(),4),L!$A:$A,0)-1,SL,,)</f>
        <v>Title - Authorizer:</v>
      </c>
      <c r="C23" s="66"/>
      <c r="D23" s="425" t="s">
        <v>20161</v>
      </c>
      <c r="E23" s="426"/>
      <c r="F23" s="426"/>
      <c r="G23" s="426"/>
      <c r="H23" s="426"/>
      <c r="I23" s="426"/>
      <c r="J23" s="427"/>
      <c r="K23" s="29"/>
      <c r="L23" s="97"/>
      <c r="P23" s="2"/>
      <c r="Q23" s="2"/>
      <c r="R23" s="2"/>
      <c r="S23" s="2"/>
      <c r="T23" s="2"/>
      <c r="U23" s="2"/>
      <c r="V23" s="2"/>
      <c r="W23" s="2"/>
      <c r="X23" s="2"/>
      <c r="Y23" s="2"/>
      <c r="Z23" s="2"/>
      <c r="AA23" s="2">
        <f>IF(AA22=0,0.1,AA22)</f>
        <v>5</v>
      </c>
      <c r="AB23" s="2"/>
      <c r="AC23" s="2"/>
      <c r="AD23" s="2"/>
      <c r="AE23" s="2"/>
      <c r="AF23" s="2"/>
      <c r="AG23" s="2"/>
    </row>
    <row r="24" spans="1:33" ht="22.5">
      <c r="A24" s="31"/>
      <c r="B24" s="33" t="str">
        <f ca="1">OFFSET(L!$C$1,MATCH("Declaration"&amp;ADDRESS(ROW(),COLUMN(),4),L!$A:$A,0)-1,SL,,)</f>
        <v>Email - Authorizer (*):</v>
      </c>
      <c r="C24" s="66"/>
      <c r="D24" s="434" t="s">
        <v>20168</v>
      </c>
      <c r="E24" s="435"/>
      <c r="F24" s="435"/>
      <c r="G24" s="435"/>
      <c r="H24" s="435"/>
      <c r="I24" s="435"/>
      <c r="J24" s="436"/>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20169</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7">
        <v>46009</v>
      </c>
      <c r="E26" s="438"/>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3" t="str">
        <f ca="1">OFFSET(L!$C$1,MATCH("Declaration"&amp;ADDRESS(ROW(),COLUMN(),4),L!$A:$A,0)-1,SL,,)</f>
        <v>Answer the following questions 1 - 7 based on the declaration scope indicated above</v>
      </c>
      <c r="C28" s="433"/>
      <c r="D28" s="433"/>
      <c r="E28" s="433"/>
      <c r="F28" s="433"/>
      <c r="G28" s="433"/>
      <c r="H28" s="433"/>
      <c r="I28" s="433"/>
      <c r="J28" s="433"/>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Lithium(*)</v>
      </c>
      <c r="C32" s="28"/>
      <c r="D32" s="404" t="s">
        <v>25</v>
      </c>
      <c r="E32" s="405"/>
      <c r="F32" s="8"/>
      <c r="G32" s="406"/>
      <c r="H32" s="407"/>
      <c r="I32" s="407"/>
      <c r="J32" s="408"/>
      <c r="K32" s="29"/>
      <c r="L32" s="104"/>
      <c r="M32">
        <f t="shared" si="33"/>
        <v>0</v>
      </c>
      <c r="O32" s="38" t="str">
        <f t="shared" si="34"/>
        <v>(*)</v>
      </c>
      <c r="P32" s="38" t="str">
        <f t="shared" si="35"/>
        <v>(*)</v>
      </c>
      <c r="Q32" s="38" t="str">
        <f t="shared" si="36"/>
        <v>(*)</v>
      </c>
      <c r="R32" s="2"/>
      <c r="S32" s="2"/>
      <c r="T32" s="2"/>
      <c r="U32" s="2"/>
      <c r="V32" s="2"/>
      <c r="W32" s="2"/>
      <c r="X32" s="2"/>
      <c r="Y32" s="2"/>
      <c r="Z32" s="2"/>
      <c r="AA32" s="2"/>
      <c r="AB32" s="2"/>
      <c r="AC32" s="2"/>
      <c r="AD32" s="2"/>
      <c r="AE32" s="2"/>
      <c r="AF32" s="2"/>
      <c r="AG32" s="2"/>
    </row>
    <row r="33" spans="1:33" ht="22.5">
      <c r="A33" s="34"/>
      <c r="B33" s="297" t="str">
        <f t="shared" si="32"/>
        <v>Mica(*)</v>
      </c>
      <c r="C33" s="28"/>
      <c r="D33" s="404" t="s">
        <v>25</v>
      </c>
      <c r="E33" s="405"/>
      <c r="F33" s="8"/>
      <c r="G33" s="406"/>
      <c r="H33" s="407"/>
      <c r="I33" s="407"/>
      <c r="J33" s="408"/>
      <c r="K33" s="29"/>
      <c r="L33" s="104"/>
      <c r="M33">
        <f t="shared" si="33"/>
        <v>0</v>
      </c>
      <c r="O33" s="38" t="str">
        <f t="shared" si="34"/>
        <v>(*)</v>
      </c>
      <c r="P33" s="38" t="str">
        <f t="shared" si="35"/>
        <v>(*)</v>
      </c>
      <c r="Q33" s="38" t="str">
        <f t="shared" si="36"/>
        <v>(*)</v>
      </c>
      <c r="R33" s="2"/>
      <c r="S33" s="2"/>
      <c r="T33" s="2"/>
      <c r="U33" s="2"/>
      <c r="V33" s="2"/>
      <c r="W33" s="2"/>
      <c r="X33" s="2"/>
      <c r="Y33" s="2"/>
      <c r="Z33" s="2"/>
      <c r="AA33" s="2"/>
      <c r="AB33" s="2"/>
      <c r="AC33" s="2"/>
      <c r="AD33" s="2"/>
      <c r="AE33" s="2"/>
      <c r="AF33" s="2"/>
      <c r="AG33" s="2"/>
    </row>
    <row r="34" spans="1:33" ht="22.5">
      <c r="A34" s="34"/>
      <c r="B34" s="297" t="str">
        <f t="shared" si="32"/>
        <v>Nickel(*)</v>
      </c>
      <c r="C34" s="28"/>
      <c r="D34" s="404" t="s">
        <v>25</v>
      </c>
      <c r="E34" s="405"/>
      <c r="F34" s="8"/>
      <c r="G34" s="406"/>
      <c r="H34" s="407"/>
      <c r="I34" s="407"/>
      <c r="J34" s="408"/>
      <c r="K34" s="29"/>
      <c r="L34" s="104"/>
      <c r="M34">
        <f t="shared" si="33"/>
        <v>0</v>
      </c>
      <c r="O34" s="38" t="str">
        <f t="shared" si="34"/>
        <v>(*)</v>
      </c>
      <c r="P34" s="38" t="str">
        <f t="shared" si="35"/>
        <v>(*)</v>
      </c>
      <c r="Q34" s="38" t="str">
        <f t="shared" si="36"/>
        <v>(*)</v>
      </c>
      <c r="R34" s="2"/>
      <c r="S34" s="2"/>
      <c r="T34" s="2"/>
      <c r="U34" s="2"/>
      <c r="V34" s="2"/>
      <c r="W34" s="2"/>
      <c r="X34" s="2"/>
      <c r="Y34" s="2"/>
      <c r="Z34" s="2"/>
      <c r="AA34" s="2"/>
      <c r="AB34" s="2"/>
      <c r="AC34" s="2"/>
      <c r="AD34" s="2"/>
      <c r="AE34" s="2"/>
      <c r="AF34" s="2"/>
      <c r="AG34" s="2"/>
    </row>
    <row r="35" spans="1:33" ht="23.25"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25"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25"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25"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25"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2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Lithium(*)</v>
      </c>
      <c r="C44" s="28"/>
      <c r="D44" s="404" t="s">
        <v>25</v>
      </c>
      <c r="E44" s="405"/>
      <c r="F44" s="8"/>
      <c r="G44" s="406"/>
      <c r="H44" s="407"/>
      <c r="I44" s="407"/>
      <c r="J44" s="408"/>
      <c r="K44" s="29"/>
      <c r="L44" s="104"/>
      <c r="M44">
        <f t="shared" si="38"/>
        <v>0</v>
      </c>
      <c r="P44" s="299" t="str">
        <f t="shared" si="47"/>
        <v>(*)</v>
      </c>
      <c r="R44" s="2"/>
      <c r="S44" s="300" t="str">
        <f t="shared" si="48"/>
        <v>Lithium</v>
      </c>
      <c r="T44" s="301" t="str">
        <f t="shared" ref="T44" si="58">IF(S45="",S44,IF(S44="",S45,IF(S44&gt;S45,S45,S44)))</f>
        <v>Lithium</v>
      </c>
      <c r="U44" s="301" t="str">
        <f t="shared" ref="U44" si="59">IF(T44="",T44,IF(T43="",T43,IF(T43&gt;T44,T43,T44)))</f>
        <v>Lithium</v>
      </c>
      <c r="V44" s="301" t="str">
        <f t="shared" ref="V44" si="60">IF(U45="",U44,IF(U44="",U45,IF(U44&gt;U45,U45,U44)))</f>
        <v>Lithium</v>
      </c>
      <c r="W44" s="301" t="str">
        <f t="shared" ref="W44" si="61">IF(V44="",V44,IF(V43="",V43,IF(V43&gt;V44,V43,V44)))</f>
        <v>Lithium</v>
      </c>
      <c r="X44" s="301" t="str">
        <f t="shared" ref="X44" si="62">IF(W45="",W44,IF(W44="",W45,IF(W44&gt;W45,W45,W44)))</f>
        <v>Lithium</v>
      </c>
      <c r="Y44" s="301" t="str">
        <f t="shared" ref="Y44" si="63">IF(X44="",X44,IF(X43="",X43,IF(X43&gt;X44,X43,X44)))</f>
        <v>Lithium</v>
      </c>
      <c r="Z44" s="301" t="str">
        <f t="shared" ref="Z44" si="64">IF(Y45="",Y44,IF(Y44="",Y45,IF(Y44&gt;Y45,Y45,Y44)))</f>
        <v>Lithium</v>
      </c>
      <c r="AA44" s="301" t="str">
        <f t="shared" ref="AA44" si="65">IF(Z44="",Z44,IF(Z43="",Z43,IF(Z43&gt;Z44,Z43,Z44)))</f>
        <v>Lithium</v>
      </c>
      <c r="AB44" s="301" t="str">
        <f t="shared" ref="AB44" si="66">IF(AA45="",AA44,IF(AA44="",AA45,IF(AA44&gt;AA45,AA45,AA44)))</f>
        <v>Lithium</v>
      </c>
      <c r="AC44" s="301" t="str">
        <f t="shared" ref="AC44" si="67">IF(AB44="",AB44,IF(AB43="",AB43,IF(AB43&gt;AB44,AB43,AB44)))</f>
        <v>Lithium</v>
      </c>
      <c r="AD44" s="2"/>
      <c r="AE44" s="2"/>
      <c r="AF44" s="2"/>
      <c r="AG44" s="2"/>
    </row>
    <row r="45" spans="1:33" ht="22.5">
      <c r="A45" s="34"/>
      <c r="B45" s="298" t="str">
        <f t="shared" si="37"/>
        <v>Mica(*)</v>
      </c>
      <c r="C45" s="28"/>
      <c r="D45" s="404" t="s">
        <v>25</v>
      </c>
      <c r="E45" s="405"/>
      <c r="F45" s="8"/>
      <c r="G45" s="406"/>
      <c r="H45" s="407"/>
      <c r="I45" s="407"/>
      <c r="J45" s="408"/>
      <c r="K45" s="29"/>
      <c r="L45" s="104"/>
      <c r="M45">
        <f t="shared" si="38"/>
        <v>0</v>
      </c>
      <c r="P45" s="299" t="str">
        <f t="shared" si="47"/>
        <v>(*)</v>
      </c>
      <c r="R45" s="2"/>
      <c r="S45" s="300" t="str">
        <f t="shared" si="48"/>
        <v>Mica</v>
      </c>
      <c r="T45" s="301" t="str">
        <f t="shared" ref="T45" si="68">IF(S45="",S45,IF(S44="",S44,IF(S44&gt;S45,S44,S45)))</f>
        <v>Mica</v>
      </c>
      <c r="U45" s="301" t="str">
        <f t="shared" ref="U45" si="69">IF(T46="",T45,IF(T45="",T46,IF(T45&gt;T46,T46,T45)))</f>
        <v>Mica</v>
      </c>
      <c r="V45" s="301" t="str">
        <f t="shared" ref="V45" si="70">IF(U45="",U45,IF(U44="",U44,IF(U44&gt;U45,U44,U45)))</f>
        <v>Mica</v>
      </c>
      <c r="W45" s="301" t="str">
        <f t="shared" ref="W45" si="71">IF(V46="",V45,IF(V45="",V46,IF(V45&gt;V46,V46,V45)))</f>
        <v>Mica</v>
      </c>
      <c r="X45" s="301" t="str">
        <f t="shared" ref="X45" si="72">IF(W45="",W45,IF(W44="",W44,IF(W44&gt;W45,W44,W45)))</f>
        <v>Mica</v>
      </c>
      <c r="Y45" s="301" t="str">
        <f t="shared" ref="Y45" si="73">IF(X46="",X45,IF(X45="",X46,IF(X45&gt;X46,X46,X45)))</f>
        <v>Mica</v>
      </c>
      <c r="Z45" s="301" t="str">
        <f t="shared" ref="Z45" si="74">IF(Y45="",Y45,IF(Y44="",Y44,IF(Y44&gt;Y45,Y44,Y45)))</f>
        <v>Mica</v>
      </c>
      <c r="AA45" s="301" t="str">
        <f t="shared" ref="AA45" si="75">IF(Z46="",Z45,IF(Z45="",Z46,IF(Z45&gt;Z46,Z46,Z45)))</f>
        <v>Mica</v>
      </c>
      <c r="AB45" s="301" t="str">
        <f t="shared" ref="AB45" si="76">IF(AA45="",AA45,IF(AA44="",AA44,IF(AA44&gt;AA45,AA44,AA45)))</f>
        <v>Mica</v>
      </c>
      <c r="AC45" s="301" t="str">
        <f t="shared" ref="AC45" si="77">IF(AB46="",AB45,IF(AB45="",AB46,IF(AB45&gt;AB46,AB46,AB45)))</f>
        <v>Mica</v>
      </c>
      <c r="AD45" s="2"/>
      <c r="AE45" s="2"/>
      <c r="AF45" s="2"/>
      <c r="AG45" s="2"/>
    </row>
    <row r="46" spans="1:33" ht="22.5">
      <c r="A46" s="34"/>
      <c r="B46" s="298" t="str">
        <f t="shared" si="37"/>
        <v>Nickel(*)</v>
      </c>
      <c r="C46" s="28"/>
      <c r="D46" s="404" t="s">
        <v>25</v>
      </c>
      <c r="E46" s="405"/>
      <c r="F46" s="8"/>
      <c r="G46" s="406"/>
      <c r="H46" s="407"/>
      <c r="I46" s="407"/>
      <c r="J46" s="408"/>
      <c r="K46" s="29"/>
      <c r="L46" s="104"/>
      <c r="M46">
        <f t="shared" si="38"/>
        <v>0</v>
      </c>
      <c r="P46" s="299" t="str">
        <f t="shared" si="47"/>
        <v>(*)</v>
      </c>
      <c r="R46" s="2"/>
      <c r="S46" s="300" t="str">
        <f t="shared" si="48"/>
        <v>Nickel</v>
      </c>
      <c r="T46" s="301" t="str">
        <f t="shared" ref="T46" si="78">IF(S47="",S46,IF(S46="",S47,IF(S46&gt;S47,S47,S46)))</f>
        <v>Nickel</v>
      </c>
      <c r="U46" s="301" t="str">
        <f t="shared" ref="U46" si="79">IF(T46="",T46,IF(T45="",T45,IF(T45&gt;T46,T45,T46)))</f>
        <v>Nickel</v>
      </c>
      <c r="V46" s="301" t="str">
        <f t="shared" ref="V46" si="80">IF(U47="",U46,IF(U46="",U47,IF(U46&gt;U47,U47,U46)))</f>
        <v>Nickel</v>
      </c>
      <c r="W46" s="301" t="str">
        <f t="shared" ref="W46" si="81">IF(V46="",V46,IF(V45="",V45,IF(V45&gt;V46,V45,V46)))</f>
        <v>Nickel</v>
      </c>
      <c r="X46" s="301" t="str">
        <f t="shared" ref="X46" si="82">IF(W47="",W46,IF(W46="",W47,IF(W46&gt;W47,W47,W46)))</f>
        <v>Nickel</v>
      </c>
      <c r="Y46" s="301" t="str">
        <f t="shared" ref="Y46" si="83">IF(X46="",X46,IF(X45="",X45,IF(X45&gt;X46,X45,X46)))</f>
        <v>Nickel</v>
      </c>
      <c r="Z46" s="301" t="str">
        <f t="shared" ref="Z46" si="84">IF(Y47="",Y46,IF(Y46="",Y47,IF(Y46&gt;Y47,Y47,Y46)))</f>
        <v>Nickel</v>
      </c>
      <c r="AA46" s="301" t="str">
        <f t="shared" ref="AA46" si="85">IF(Z46="",Z46,IF(Z45="",Z45,IF(Z45&gt;Z46,Z45,Z46)))</f>
        <v>Nickel</v>
      </c>
      <c r="AB46" s="301" t="str">
        <f t="shared" ref="AB46" si="86">IF(AA47="",AA46,IF(AA46="",AA47,IF(AA46&gt;AA47,AA47,AA46)))</f>
        <v>Nickel</v>
      </c>
      <c r="AC46" s="301" t="str">
        <f t="shared" ref="AC46" si="87">IF(AB46="",AB46,IF(AB45="",AB45,IF(AB45&gt;AB46,AB45,AB46)))</f>
        <v>Nickel</v>
      </c>
      <c r="AD46" s="2"/>
      <c r="AE46" s="2"/>
      <c r="AF46" s="2"/>
      <c r="AG46" s="2"/>
    </row>
    <row r="47" spans="1:33" ht="23.25"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25"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25"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25"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25"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2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298" t="str">
        <f>IF(ISERROR(AA$14),"",AA$14&amp;"")&amp;P$56</f>
        <v>Lithium(*)</v>
      </c>
      <c r="C56" s="6"/>
      <c r="D56" s="404" t="s">
        <v>22</v>
      </c>
      <c r="E56" s="405"/>
      <c r="F56" s="40"/>
      <c r="G56" s="406"/>
      <c r="H56" s="407"/>
      <c r="I56" s="407"/>
      <c r="J56" s="408"/>
      <c r="K56" s="29"/>
      <c r="L56" s="104"/>
      <c r="M56">
        <f t="shared" si="137"/>
        <v>0</v>
      </c>
      <c r="P56" s="299" t="str">
        <f t="shared" si="138"/>
        <v>(*)</v>
      </c>
      <c r="Q56" s="2"/>
      <c r="R56" s="2"/>
      <c r="S56" s="2"/>
      <c r="T56" s="2"/>
      <c r="U56" s="2"/>
      <c r="V56" s="2"/>
      <c r="W56" s="2"/>
      <c r="X56" s="2"/>
      <c r="Y56" s="2">
        <v>40</v>
      </c>
      <c r="Z56" s="2"/>
      <c r="AA56" s="2"/>
      <c r="AB56" s="2"/>
      <c r="AC56" s="2"/>
      <c r="AD56" s="2"/>
      <c r="AE56" s="2"/>
      <c r="AF56" s="2"/>
    </row>
    <row r="57" spans="1:33" ht="22.15" customHeight="1">
      <c r="A57" s="34"/>
      <c r="B57" s="298" t="str">
        <f>IF(ISERROR(AA$15),"",AA$15&amp;"")&amp;P$57</f>
        <v>Mica(*)</v>
      </c>
      <c r="C57" s="6"/>
      <c r="D57" s="404" t="s">
        <v>22</v>
      </c>
      <c r="E57" s="405"/>
      <c r="F57" s="40"/>
      <c r="G57" s="406"/>
      <c r="H57" s="407"/>
      <c r="I57" s="407"/>
      <c r="J57" s="408"/>
      <c r="K57" s="29"/>
      <c r="L57" s="104"/>
      <c r="M57">
        <f t="shared" si="137"/>
        <v>0</v>
      </c>
      <c r="P57" s="299" t="str">
        <f t="shared" si="138"/>
        <v>(*)</v>
      </c>
      <c r="Q57" s="2"/>
      <c r="R57" s="2"/>
      <c r="S57" s="2"/>
      <c r="T57" s="2"/>
      <c r="U57" s="2"/>
      <c r="V57" s="2"/>
      <c r="W57" s="2"/>
      <c r="X57" s="2"/>
      <c r="Y57" s="2">
        <v>41</v>
      </c>
      <c r="Z57" s="2"/>
      <c r="AA57" s="2"/>
      <c r="AB57" s="2"/>
      <c r="AC57" s="2"/>
      <c r="AD57" s="2"/>
      <c r="AE57" s="2"/>
      <c r="AF57" s="2"/>
    </row>
    <row r="58" spans="1:33" ht="22.5">
      <c r="A58" s="34"/>
      <c r="B58" s="298" t="str">
        <f>IF(ISERROR(AA$16),"",AA$16&amp;"")&amp;P$58</f>
        <v>Nickel(*)</v>
      </c>
      <c r="C58" s="6"/>
      <c r="D58" s="404" t="s">
        <v>22</v>
      </c>
      <c r="E58" s="405"/>
      <c r="F58" s="40"/>
      <c r="G58" s="406"/>
      <c r="H58" s="407"/>
      <c r="I58" s="407"/>
      <c r="J58" s="408"/>
      <c r="K58" s="29"/>
      <c r="L58" s="104"/>
      <c r="M58">
        <f t="shared" si="137"/>
        <v>0</v>
      </c>
      <c r="P58" s="299" t="str">
        <f t="shared" si="138"/>
        <v>(*)</v>
      </c>
      <c r="Q58" s="2"/>
      <c r="R58" s="2"/>
      <c r="S58" s="2"/>
      <c r="T58" s="2"/>
      <c r="U58" s="2"/>
      <c r="V58" s="2"/>
      <c r="W58" s="2"/>
      <c r="X58" s="2"/>
      <c r="Y58" s="2">
        <v>39</v>
      </c>
      <c r="Z58" s="2"/>
      <c r="AA58" s="2"/>
      <c r="AB58" s="2"/>
      <c r="AC58" s="2"/>
      <c r="AD58" s="2"/>
      <c r="AE58" s="2"/>
      <c r="AF58" s="2"/>
    </row>
    <row r="59" spans="1:33" ht="23.25"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25"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25"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25"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25"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2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15"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25"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25" customHeight="1">
      <c r="A68" s="34"/>
      <c r="B68" s="298" t="str">
        <f>IF(ISERROR(AA$14),"",AA$14&amp;"")&amp;P$56</f>
        <v>Lithium(*)</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25" customHeight="1">
      <c r="A69" s="34"/>
      <c r="B69" s="298" t="str">
        <f>IF(ISERROR(AA$15),"",AA$15&amp;"")&amp;P$57</f>
        <v>Mica(*)</v>
      </c>
      <c r="C69" s="6"/>
      <c r="D69" s="404" t="s">
        <v>22</v>
      </c>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25" customHeight="1">
      <c r="A70" s="34"/>
      <c r="B70" s="298" t="str">
        <f>IF(ISERROR(AA$16),"",AA$16&amp;"")&amp;P$58</f>
        <v>Nickel(*)</v>
      </c>
      <c r="C70" s="6"/>
      <c r="D70" s="404" t="s">
        <v>22</v>
      </c>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25"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25"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25"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25"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25"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2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28</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28</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25" customHeight="1">
      <c r="A80" s="34"/>
      <c r="B80" s="298" t="str">
        <f>IF(ISERROR(AA$14),"",AA$14&amp;"")&amp;P$56</f>
        <v>Lithium(*)</v>
      </c>
      <c r="C80" s="28"/>
      <c r="D80" s="404" t="s">
        <v>28</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Mica(*)</v>
      </c>
      <c r="C81" s="28"/>
      <c r="D81" s="404" t="s">
        <v>28</v>
      </c>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Nickel(*)</v>
      </c>
      <c r="C82" s="28"/>
      <c r="D82" s="404" t="s">
        <v>28</v>
      </c>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25"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25"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25"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25"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25"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2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Lithium(*)</v>
      </c>
      <c r="C92" s="6"/>
      <c r="D92" s="404" t="s">
        <v>22</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Mica(*)</v>
      </c>
      <c r="C93" s="6"/>
      <c r="D93" s="404" t="s">
        <v>25</v>
      </c>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Nickel(*)</v>
      </c>
      <c r="C94" s="6"/>
      <c r="D94" s="404" t="s">
        <v>22</v>
      </c>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25"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25"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25"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25"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25"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2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Lithium(*)</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Mica(*)</v>
      </c>
      <c r="C105" s="28"/>
      <c r="D105" s="404" t="s">
        <v>25</v>
      </c>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Nickel(*)</v>
      </c>
      <c r="C106" s="28"/>
      <c r="D106" s="404" t="s">
        <v>25</v>
      </c>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25"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25"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25"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25"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25"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2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20170</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Lithium(*)</v>
      </c>
      <c r="C122" s="6"/>
      <c r="D122" s="404" t="s">
        <v>25</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Mica(*)</v>
      </c>
      <c r="C123" s="6"/>
      <c r="D123" s="404" t="s">
        <v>25</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Nickel(*)</v>
      </c>
      <c r="C124" s="6"/>
      <c r="D124" s="404" t="s">
        <v>25</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25"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25"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25"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25"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25"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25"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7"/>
    </row>
    <row r="143" spans="1:33" ht="17.649999999999999" hidden="1" customHeight="1"/>
    <row r="144" spans="1:33" ht="17.649999999999999" hidden="1" customHeight="1">
      <c r="B144" s="171" t="s">
        <v>25</v>
      </c>
    </row>
    <row r="145" spans="2:2" ht="17.649999999999999" hidden="1" customHeight="1">
      <c r="B145" s="171" t="s">
        <v>22</v>
      </c>
    </row>
    <row r="146" spans="2:2" ht="17.649999999999999" hidden="1" customHeight="1">
      <c r="B146" s="171" t="s">
        <v>26</v>
      </c>
    </row>
    <row r="147" spans="2:2" ht="17.649999999999999" hidden="1" customHeight="1">
      <c r="B147" s="171" t="s">
        <v>18682</v>
      </c>
    </row>
    <row r="148" spans="2:2" ht="17.649999999999999" hidden="1" customHeight="1">
      <c r="B148" s="171" t="s">
        <v>25</v>
      </c>
    </row>
    <row r="149" spans="2:2" ht="17.649999999999999" hidden="1" customHeight="1">
      <c r="B149" s="171" t="s">
        <v>22</v>
      </c>
    </row>
    <row r="150" spans="2:2" ht="17.649999999999999" hidden="1" customHeight="1">
      <c r="B150" s="171" t="s">
        <v>26</v>
      </c>
    </row>
    <row r="151" spans="2:2" ht="17.649999999999999" hidden="1" customHeight="1">
      <c r="B151" s="307" t="s">
        <v>18958</v>
      </c>
    </row>
    <row r="152" spans="2:2" ht="17.649999999999999" hidden="1" customHeight="1">
      <c r="B152" s="171" t="s">
        <v>27</v>
      </c>
    </row>
    <row r="153" spans="2:2" ht="17.649999999999999" hidden="1" customHeight="1">
      <c r="B153" s="171" t="s">
        <v>28</v>
      </c>
    </row>
    <row r="154" spans="2:2" ht="17.649999999999999" hidden="1" customHeight="1">
      <c r="B154" s="171" t="s">
        <v>29</v>
      </c>
    </row>
    <row r="155" spans="2:2" ht="17.649999999999999" hidden="1" customHeight="1">
      <c r="B155" s="171" t="s">
        <v>30</v>
      </c>
    </row>
    <row r="156" spans="2:2" ht="17.649999999999999" hidden="1" customHeight="1">
      <c r="B156" s="171" t="s">
        <v>31</v>
      </c>
    </row>
    <row r="157" spans="2:2" ht="17.649999999999999" hidden="1" customHeight="1">
      <c r="B157" s="171" t="s">
        <v>18683</v>
      </c>
    </row>
    <row r="158" spans="2:2" ht="17.649999999999999" hidden="1" customHeight="1">
      <c r="B158" s="171" t="s">
        <v>32</v>
      </c>
    </row>
    <row r="159" spans="2:2" ht="17.649999999999999" hidden="1" customHeight="1">
      <c r="B159" s="171" t="s">
        <v>25</v>
      </c>
    </row>
    <row r="160" spans="2:2" ht="17.649999999999999" hidden="1" customHeight="1">
      <c r="B160" s="171" t="s">
        <v>22</v>
      </c>
    </row>
    <row r="161" spans="2:3" ht="17.649999999999999" hidden="1" customHeight="1">
      <c r="B161" s="171" t="s">
        <v>32</v>
      </c>
    </row>
    <row r="162" spans="2:3" ht="17.649999999999999" hidden="1" customHeight="1">
      <c r="B162" s="171" t="s">
        <v>33</v>
      </c>
    </row>
    <row r="163" spans="2:3" ht="17.649999999999999" hidden="1" customHeight="1">
      <c r="B163" s="171" t="s">
        <v>22</v>
      </c>
    </row>
    <row r="164" spans="2:3" ht="17.649999999999999" hidden="1" customHeight="1">
      <c r="B164" s="171" t="s">
        <v>25</v>
      </c>
    </row>
    <row r="165" spans="2:3" ht="17.649999999999999" hidden="1" customHeight="1">
      <c r="B165" s="171" t="s">
        <v>22</v>
      </c>
    </row>
    <row r="166" spans="2:3" ht="17.649999999999999" hidden="1" customHeight="1">
      <c r="B166" s="171" t="s">
        <v>26</v>
      </c>
    </row>
    <row r="167" spans="2:3" ht="17.649999999999999" hidden="1" customHeight="1">
      <c r="B167" s="171" t="s">
        <v>34</v>
      </c>
    </row>
    <row r="168" spans="2:3" ht="17.649999999999999" hidden="1" customHeight="1">
      <c r="B168" s="171" t="s">
        <v>35</v>
      </c>
    </row>
    <row r="169" spans="2:3" ht="17.649999999999999" hidden="1" customHeight="1">
      <c r="B169" s="171" t="s">
        <v>36</v>
      </c>
    </row>
    <row r="170" spans="2:3" ht="17.649999999999999" hidden="1" customHeight="1">
      <c r="B170" s="171" t="s">
        <v>37</v>
      </c>
    </row>
    <row r="171" spans="2:3" ht="17.649999999999999" hidden="1" customHeight="1">
      <c r="B171" s="171" t="s">
        <v>22</v>
      </c>
    </row>
    <row r="172" spans="2:3" ht="17.649999999999999" hidden="1" customHeight="1">
      <c r="B172" s="171" t="s">
        <v>25</v>
      </c>
    </row>
    <row r="173" spans="2:3" ht="17.649999999999999" hidden="1" customHeight="1">
      <c r="B173" s="171" t="s">
        <v>38</v>
      </c>
    </row>
    <row r="174" spans="2:3" ht="17.649999999999999" hidden="1" customHeight="1">
      <c r="B174" s="171" t="s">
        <v>22</v>
      </c>
    </row>
    <row r="175" spans="2:3" ht="17.649999999999999" hidden="1" customHeight="1">
      <c r="B175" s="171" t="s">
        <v>40</v>
      </c>
      <c r="C175" t="s">
        <v>19180</v>
      </c>
    </row>
    <row r="176" spans="2:3" ht="17.649999999999999" hidden="1" customHeight="1">
      <c r="B176" s="171" t="s">
        <v>18684</v>
      </c>
      <c r="C176" t="s">
        <v>19181</v>
      </c>
    </row>
    <row r="177" spans="2:3" ht="17.649999999999999" hidden="1" customHeight="1">
      <c r="B177" s="171" t="s">
        <v>18686</v>
      </c>
      <c r="C177" t="s">
        <v>19182</v>
      </c>
    </row>
    <row r="178" spans="2:3" ht="17.649999999999999" hidden="1" customHeight="1">
      <c r="B178" s="171" t="s">
        <v>18687</v>
      </c>
      <c r="C178" t="s">
        <v>19183</v>
      </c>
    </row>
    <row r="179" spans="2:3" ht="17.649999999999999" hidden="1" customHeight="1">
      <c r="B179" s="171" t="s">
        <v>41</v>
      </c>
      <c r="C179" t="s">
        <v>19184</v>
      </c>
    </row>
    <row r="180" spans="2:3" ht="17.649999999999999" hidden="1" customHeight="1">
      <c r="B180" s="171" t="s">
        <v>18685</v>
      </c>
      <c r="C180" t="s">
        <v>19185</v>
      </c>
    </row>
    <row r="181" spans="2:3" ht="17.649999999999999" hidden="1" customHeight="1">
      <c r="B181" s="171"/>
    </row>
    <row r="182" spans="2:3" ht="17.649999999999999" hidden="1" customHeight="1">
      <c r="B182" s="171"/>
    </row>
    <row r="183" spans="2:3" ht="17.649999999999999" hidden="1" customHeight="1">
      <c r="B183" s="171"/>
    </row>
    <row r="184" spans="2:3" ht="17.649999999999999" hidden="1" customHeight="1">
      <c r="B184" s="171"/>
    </row>
    <row r="185" spans="2:3" ht="17.649999999999999" hidden="1" customHeight="1">
      <c r="B185" s="171" t="s">
        <v>18688</v>
      </c>
    </row>
    <row r="186" spans="2:3" ht="17.649999999999999" hidden="1" customHeight="1"/>
    <row r="187" spans="2:3" ht="17.649999999999999" hidden="1" customHeight="1"/>
    <row r="188" spans="2:3" ht="17.649999999999999" hidden="1" customHeight="1">
      <c r="B188" s="368"/>
    </row>
    <row r="189" spans="2:3" ht="17.649999999999999"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BB034E75-C7E0-4824-A93A-086C1792B4CF}"/>
    <hyperlink ref="D24" r:id="rId2" xr:uid="{38D56B90-7C3E-419E-A25B-272896176210}"/>
    <hyperlink ref="G117" r:id="rId3" xr:uid="{1D348272-09F2-4855-A709-ABB641E30082}"/>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19" activePane="bottomLeft" state="frozen"/>
      <selection activeCell="B24" sqref="B24:J24"/>
      <selection pane="bottomLeft" activeCell="A27" sqref="A2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5" t="str">
        <f ca="1">OFFSET(L!$C$1,MATCH("Smelter List"&amp;ADDRESS(ROW(),COLUMN(),4),L!$A:$A,0)-1,SL,,)</f>
        <v>Link to "RMAP Conformant Smelter List"</v>
      </c>
      <c r="K2" s="466"/>
      <c r="L2" s="466"/>
      <c r="M2" s="466"/>
      <c r="N2" s="466"/>
      <c r="O2" s="466"/>
      <c r="P2" s="161"/>
      <c r="Q2" s="162"/>
      <c r="R2" s="163"/>
      <c r="S2" s="163"/>
      <c r="T2" s="163"/>
      <c r="AB2" s="310"/>
      <c r="AH2" s="129" t="s">
        <v>25</v>
      </c>
    </row>
    <row r="3" spans="1:34" s="16" customFormat="1" ht="249.75" customHeight="1">
      <c r="A3" s="200"/>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4"/>
      <c r="G3" s="468" t="str">
        <f ca="1">OFFSET(L!$C$1,MATCH("General"&amp;"Cpy",L!$A:$A,0)-1,SL,,)</f>
        <v>© 2025 Responsible Minerals Initiative. All rights reserved.</v>
      </c>
      <c r="H3" s="469"/>
      <c r="I3" s="470"/>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02">
      <c r="A5" s="196" t="s">
        <v>66</v>
      </c>
      <c r="B5" s="302" t="str">
        <f ca="1">IF(LEN(A5)=0,"",INDEX('Smelter Look-up'!$A:$A,MATCH($A5,'Smelter Look-up'!$E:$E,0)))</f>
        <v>Cobalt</v>
      </c>
      <c r="C5" s="151" t="str">
        <f ca="1">IF(LEN(A5)=0,"",INDEX('Smelter Look-up'!$C:$C,MATCH($A5,'Smelter Look-up'!$E:$E,0)))</f>
        <v>Chizhou CN New Materials and Technology Co., Ltd.</v>
      </c>
      <c r="D5" s="148"/>
      <c r="E5" s="148" t="str">
        <f ca="1">IF(ISERROR($V5),"",OFFSET('Smelter Look-up'!$D$4,$V5-4,0)&amp;"")</f>
        <v>CHINA</v>
      </c>
      <c r="F5" s="148" t="str">
        <f ca="1">IF(ISERROR($V5),"",OFFSET('Smelter Look-up'!$E$4,$V5-4,0))</f>
        <v>CID003481</v>
      </c>
      <c r="G5" s="148" t="str">
        <f ca="1">IF(C5=$X$4,"Enter smelter details",IF(ISERROR($V5),"",OFFSET('Smelter Look-up'!$F$4,$V5-4,0)))</f>
        <v>RMI</v>
      </c>
      <c r="H5" s="204">
        <f ca="1">IF(ISERROR($V5),"",OFFSET('Smelter Look-up'!$G$4,$V5-4,0))</f>
        <v>0</v>
      </c>
      <c r="I5" s="205" t="str">
        <f ca="1">IF(ISERROR($V5),"",OFFSET('Smelter Look-up'!$H$4,$V5-4,0))</f>
        <v>Chizhou</v>
      </c>
      <c r="J5" s="205" t="str">
        <f ca="1">IF(ISERROR($V5),"",OFFSET('Smelter Look-up'!$I$4,$V5-4,0))</f>
        <v>Anhui Sheng</v>
      </c>
      <c r="K5" s="149"/>
      <c r="L5" s="149"/>
      <c r="M5" s="149"/>
      <c r="N5" s="149"/>
      <c r="O5" s="149"/>
      <c r="P5" s="207"/>
      <c r="Q5" s="150"/>
      <c r="R5" s="148" t="str">
        <f ca="1">IF(ISERROR($V5),"",OFFSET('Smelter Look-up'!$C$4,$V5-4,0)&amp;"")</f>
        <v>Chizhou CN New Materials and Technology Co., Ltd.</v>
      </c>
      <c r="S5" s="154" t="str">
        <f t="shared" ref="S5:S12" ca="1" si="0">IF(B5="","",IF(ISERROR(MATCH($E5,CL,0)),"Unknown",INDIRECT("'C'!$A$"&amp;MATCH($E5,CL,0)+1)))</f>
        <v>CN</v>
      </c>
      <c r="T5" s="154" t="str">
        <f ca="1">IF(B5="","",IF(ISERROR(MATCH($J5,SorP!$B$1:$B$6226,0)),"",INDIRECT("'SorP'!$A$"&amp;MATCH($S5&amp;$J5,SorP!C:C,0))))</f>
        <v>CN-AH</v>
      </c>
      <c r="U5" s="167"/>
      <c r="V5" s="168">
        <f ca="1">IF(C5="",NA(),MATCH($B5&amp;$C5,'Smelter Look-up'!$J:$J,0))</f>
        <v>9</v>
      </c>
      <c r="X5" s="169">
        <f t="shared" ref="X5:X12" ca="1" si="1">IF(AND(C5="Smelter not listed",OR(LEN(D5)=0,LEN(E5)=0)),1,0)</f>
        <v>0</v>
      </c>
      <c r="AB5" s="312" t="str">
        <f t="shared" ref="AB5:AB12" ca="1" si="2">IF(C5="","",B5)</f>
        <v>Cobalt</v>
      </c>
      <c r="AC5" s="169" t="str">
        <f ca="1">B5</f>
        <v>Cobalt</v>
      </c>
      <c r="AD5" s="169" t="str">
        <f ca="1">IF(C5="Smelter not listed",D5,C5)</f>
        <v>Chizhou CN New Materials and Technology Co., Ltd.</v>
      </c>
    </row>
    <row r="6" spans="1:34" s="169" customFormat="1" ht="18.95" customHeight="1">
      <c r="A6" s="196" t="s">
        <v>237</v>
      </c>
      <c r="B6" s="302" t="str">
        <f ca="1">IF(LEN(A6)=0,"",INDEX('Smelter Look-up'!$A:$A,MATCH($A6,'Smelter Look-up'!$E:$E,0)))</f>
        <v>Cobalt</v>
      </c>
      <c r="C6" s="151" t="str">
        <f ca="1">IF(LEN(A6)=0,"",INDEX('Smelter Look-up'!$C:$C,MATCH($A6,'Smelter Look-up'!$E:$E,0)))</f>
        <v>Ningbo Yanmen Chemical Co., Ltd.</v>
      </c>
      <c r="D6" s="148"/>
      <c r="E6" s="148" t="str">
        <f ca="1">IF(ISERROR($V6),"",OFFSET('Smelter Look-up'!$D$4,$V6-4,0)&amp;"")</f>
        <v>CHINA</v>
      </c>
      <c r="F6" s="148" t="str">
        <f ca="1">IF(ISERROR($V6),"",OFFSET('Smelter Look-up'!$E$4,$V6-4,0))</f>
        <v>CID003422</v>
      </c>
      <c r="G6" s="148" t="str">
        <f ca="1">IF(C6=$X$4,"Enter smelter details",IF(ISERROR($V6),"",OFFSET('Smelter Look-up'!$F$4,$V6-4,0)))</f>
        <v>RMI</v>
      </c>
      <c r="H6" s="204">
        <f ca="1">IF(ISERROR($V6),"",OFFSET('Smelter Look-up'!$G$4,$V6-4,0))</f>
        <v>0</v>
      </c>
      <c r="I6" s="205" t="str">
        <f ca="1">IF(ISERROR($V6),"",OFFSET('Smelter Look-up'!$H$4,$V6-4,0))</f>
        <v>Ningbo</v>
      </c>
      <c r="J6" s="205" t="str">
        <f ca="1">IF(ISERROR($V6),"",OFFSET('Smelter Look-up'!$I$4,$V6-4,0))</f>
        <v>Zhejiang Sheng</v>
      </c>
      <c r="K6" s="149"/>
      <c r="L6" s="149"/>
      <c r="M6" s="149"/>
      <c r="N6" s="149"/>
      <c r="O6" s="149"/>
      <c r="P6" s="207"/>
      <c r="Q6" s="150"/>
      <c r="R6" s="148" t="str">
        <f ca="1">IF(ISERROR($V6),"",OFFSET('Smelter Look-up'!$C$4,$V6-4,0)&amp;"")</f>
        <v>Ningbo Yanmen Chemical Co., Ltd.</v>
      </c>
      <c r="S6" s="154" t="str">
        <f t="shared" ca="1" si="0"/>
        <v>CN</v>
      </c>
      <c r="T6" s="154" t="str">
        <f ca="1">IF(B6="","",IF(ISERROR(MATCH($J6,SorP!$B$1:$B$6226,0)),"",INDIRECT("'SorP'!$A$"&amp;MATCH($S6&amp;$J6,SorP!C:C,0))))</f>
        <v>CN-ZJ</v>
      </c>
      <c r="U6" s="167"/>
      <c r="V6" s="168">
        <f ca="1">IF(C6="",NA(),MATCH($B6&amp;$C6,'Smelter Look-up'!$J:$J,0))</f>
        <v>124</v>
      </c>
      <c r="X6" s="169">
        <f t="shared" ca="1" si="1"/>
        <v>0</v>
      </c>
      <c r="AB6" s="312" t="str">
        <f t="shared" ca="1" si="2"/>
        <v>Cobalt</v>
      </c>
      <c r="AC6" s="169" t="str">
        <f t="shared" ref="AC6:AC69" ca="1" si="3">B6</f>
        <v>Cobalt</v>
      </c>
      <c r="AD6" s="169" t="str">
        <f t="shared" ref="AD6:AD69" ca="1" si="4">IF(C6="Smelter not listed",D6,C6)</f>
        <v>Ningbo Yanmen Chemical Co., Ltd.</v>
      </c>
    </row>
    <row r="7" spans="1:34" s="169" customFormat="1" ht="63.75">
      <c r="A7" s="196" t="s">
        <v>200</v>
      </c>
      <c r="B7" s="302" t="str">
        <f ca="1">IF(LEN(A7)=0,"",INDEX('Smelter Look-up'!$A:$A,MATCH($A7,'Smelter Look-up'!$E:$E,0)))</f>
        <v>Cobalt</v>
      </c>
      <c r="C7" s="151" t="str">
        <f ca="1">IF(LEN(A7)=0,"",INDEX('Smelter Look-up'!$C:$C,MATCH($A7,'Smelter Look-up'!$E:$E,0)))</f>
        <v>Mechema Korea, Co., Ltd.</v>
      </c>
      <c r="D7" s="148"/>
      <c r="E7" s="148" t="str">
        <f ca="1">IF(ISERROR($V7),"",OFFSET('Smelter Look-up'!$D$4,$V7-4,0)&amp;"")</f>
        <v>KOREA, REPUBLIC OF</v>
      </c>
      <c r="F7" s="148" t="str">
        <f ca="1">IF(ISERROR($V7),"",OFFSET('Smelter Look-up'!$E$4,$V7-4,0))</f>
        <v>CID003535</v>
      </c>
      <c r="G7" s="148" t="str">
        <f ca="1">IF(C7=$X$4,"Enter smelter details",IF(ISERROR($V7),"",OFFSET('Smelter Look-up'!$F$4,$V7-4,0)))</f>
        <v>RMI</v>
      </c>
      <c r="H7" s="204">
        <f ca="1">IF(ISERROR($V7),"",OFFSET('Smelter Look-up'!$G$4,$V7-4,0))</f>
        <v>0</v>
      </c>
      <c r="I7" s="205" t="str">
        <f ca="1">IF(ISERROR($V7),"",OFFSET('Smelter Look-up'!$H$4,$V7-4,0))</f>
        <v>Ulsan</v>
      </c>
      <c r="J7" s="205" t="str">
        <f ca="1">IF(ISERROR($V7),"",OFFSET('Smelter Look-up'!$I$4,$V7-4,0))</f>
        <v>Gyeongsangnam-do</v>
      </c>
      <c r="K7" s="149"/>
      <c r="L7" s="149"/>
      <c r="M7" s="149"/>
      <c r="N7" s="149"/>
      <c r="O7" s="149"/>
      <c r="P7" s="207"/>
      <c r="Q7" s="150"/>
      <c r="R7" s="148" t="str">
        <f ca="1">IF(ISERROR($V7),"",OFFSET('Smelter Look-up'!$C$4,$V7-4,0)&amp;"")</f>
        <v>Mechema Korea, Co., Ltd.</v>
      </c>
      <c r="S7" s="154" t="str">
        <f t="shared" ca="1" si="0"/>
        <v>KR</v>
      </c>
      <c r="T7" s="154" t="str">
        <f ca="1">IF(B7="","",IF(ISERROR(MATCH($J7,SorP!$B$1:$B$6226,0)),"",INDIRECT("'SorP'!$A$"&amp;MATCH($S7&amp;$J7,SorP!C:C,0))))</f>
        <v>KR-48</v>
      </c>
      <c r="U7" s="167"/>
      <c r="V7" s="168">
        <f ca="1">IF(C7="",NA(),MATCH($B7&amp;$C7,'Smelter Look-up'!$J:$J,0))</f>
        <v>99</v>
      </c>
      <c r="X7" s="169">
        <f t="shared" ca="1" si="1"/>
        <v>0</v>
      </c>
      <c r="AB7" s="312" t="str">
        <f t="shared" ca="1" si="2"/>
        <v>Cobalt</v>
      </c>
      <c r="AC7" s="169" t="str">
        <f t="shared" ca="1" si="3"/>
        <v>Cobalt</v>
      </c>
      <c r="AD7" s="169" t="str">
        <f t="shared" ca="1" si="4"/>
        <v>Mechema Korea, Co., Ltd.</v>
      </c>
    </row>
    <row r="8" spans="1:34" s="169" customFormat="1" ht="102">
      <c r="A8" s="196" t="s">
        <v>294</v>
      </c>
      <c r="B8" s="302" t="str">
        <f ca="1">IF(LEN(A8)=0,"",INDEX('Smelter Look-up'!$A:$A,MATCH($A8,'Smelter Look-up'!$E:$E,0)))</f>
        <v>Cobalt</v>
      </c>
      <c r="C8" s="151" t="str">
        <f ca="1">IF(LEN(A8)=0,"",INDEX('Smelter Look-up'!$C:$C,MATCH($A8,'Smelter Look-up'!$E:$E,0)))</f>
        <v>Zhejiang Greatpower Cobalt Materials Co., Ltd.</v>
      </c>
      <c r="D8" s="148"/>
      <c r="E8" s="148" t="str">
        <f ca="1">IF(ISERROR($V8),"",OFFSET('Smelter Look-up'!$D$4,$V8-4,0)&amp;"")</f>
        <v>CHINA</v>
      </c>
      <c r="F8" s="148" t="str">
        <f ca="1">IF(ISERROR($V8),"",OFFSET('Smelter Look-up'!$E$4,$V8-4,0))</f>
        <v>CID003526</v>
      </c>
      <c r="G8" s="148" t="str">
        <f ca="1">IF(C8=$X$4,"Enter smelter details",IF(ISERROR($V8),"",OFFSET('Smelter Look-up'!$F$4,$V8-4,0)))</f>
        <v>RMI</v>
      </c>
      <c r="H8" s="204">
        <f ca="1">IF(ISERROR($V8),"",OFFSET('Smelter Look-up'!$G$4,$V8-4,0))</f>
        <v>0</v>
      </c>
      <c r="I8" s="205" t="str">
        <f ca="1">IF(ISERROR($V8),"",OFFSET('Smelter Look-up'!$H$4,$V8-4,0))</f>
        <v>Shaoxing</v>
      </c>
      <c r="J8" s="205" t="str">
        <f ca="1">IF(ISERROR($V8),"",OFFSET('Smelter Look-up'!$I$4,$V8-4,0))</f>
        <v>Zhejiang Sheng</v>
      </c>
      <c r="K8" s="149"/>
      <c r="L8" s="149"/>
      <c r="M8" s="149"/>
      <c r="N8" s="149"/>
      <c r="O8" s="149"/>
      <c r="P8" s="207"/>
      <c r="Q8" s="150"/>
      <c r="R8" s="148" t="str">
        <f ca="1">IF(ISERROR($V8),"",OFFSET('Smelter Look-up'!$C$4,$V8-4,0)&amp;"")</f>
        <v>Zhejiang Greatpower Cobalt Materials Co., Ltd.</v>
      </c>
      <c r="S8" s="154" t="str">
        <f t="shared" ca="1" si="0"/>
        <v>CN</v>
      </c>
      <c r="T8" s="154" t="str">
        <f ca="1">IF(B8="","",IF(ISERROR(MATCH($J8,SorP!$B$1:$B$6226,0)),"",INDIRECT("'SorP'!$A$"&amp;MATCH($S8&amp;$J8,SorP!C:C,0))))</f>
        <v>CN-ZJ</v>
      </c>
      <c r="U8" s="167"/>
      <c r="V8" s="168">
        <f ca="1">IF(C8="",NA(),MATCH($B8&amp;$C8,'Smelter Look-up'!$J:$J,0))</f>
        <v>168</v>
      </c>
      <c r="X8" s="169">
        <f t="shared" ca="1" si="1"/>
        <v>0</v>
      </c>
      <c r="AB8" s="312" t="str">
        <f t="shared" ca="1" si="2"/>
        <v>Cobalt</v>
      </c>
      <c r="AC8" s="169" t="str">
        <f t="shared" ca="1" si="3"/>
        <v>Cobalt</v>
      </c>
      <c r="AD8" s="169" t="str">
        <f t="shared" ca="1" si="4"/>
        <v>Zhejiang Greatpower Cobalt Materials Co., Ltd.</v>
      </c>
    </row>
    <row r="9" spans="1:34" s="169" customFormat="1" ht="38.25">
      <c r="A9" s="196" t="s">
        <v>82</v>
      </c>
      <c r="B9" s="302" t="str">
        <f ca="1">IF(LEN(A9)=0,"",INDEX('Smelter Look-up'!$A:$A,MATCH($A9,'Smelter Look-up'!$E:$E,0)))</f>
        <v>Cobalt</v>
      </c>
      <c r="C9" s="151" t="str">
        <f ca="1">IF(LEN(A9)=0,"",INDEX('Smelter Look-up'!$C:$C,MATCH($A9,'Smelter Look-up'!$E:$E,0)))</f>
        <v>Cosmo Chemical, Ltd.</v>
      </c>
      <c r="D9" s="148"/>
      <c r="E9" s="148" t="str">
        <f ca="1">IF(ISERROR($V9),"",OFFSET('Smelter Look-up'!$D$4,$V9-4,0)&amp;"")</f>
        <v>KOREA, REPUBLIC OF</v>
      </c>
      <c r="F9" s="148" t="str">
        <f ca="1">IF(ISERROR($V9),"",OFFSET('Smelter Look-up'!$E$4,$V9-4,0))</f>
        <v>CID003415</v>
      </c>
      <c r="G9" s="148" t="str">
        <f ca="1">IF(C9=$X$4,"Enter smelter details",IF(ISERROR($V9),"",OFFSET('Smelter Look-up'!$F$4,$V9-4,0)))</f>
        <v>RMI</v>
      </c>
      <c r="H9" s="204">
        <f ca="1">IF(ISERROR($V9),"",OFFSET('Smelter Look-up'!$G$4,$V9-4,0))</f>
        <v>0</v>
      </c>
      <c r="I9" s="205" t="str">
        <f ca="1">IF(ISERROR($V9),"",OFFSET('Smelter Look-up'!$H$4,$V9-4,0))</f>
        <v>Ulsan</v>
      </c>
      <c r="J9" s="205" t="str">
        <f ca="1">IF(ISERROR($V9),"",OFFSET('Smelter Look-up'!$I$4,$V9-4,0))</f>
        <v>Gyeongsangnam-do</v>
      </c>
      <c r="K9" s="149"/>
      <c r="L9" s="149"/>
      <c r="M9" s="149"/>
      <c r="N9" s="149"/>
      <c r="O9" s="149"/>
      <c r="P9" s="207"/>
      <c r="Q9" s="150"/>
      <c r="R9" s="148" t="str">
        <f ca="1">IF(ISERROR($V9),"",OFFSET('Smelter Look-up'!$C$4,$V9-4,0)&amp;"")</f>
        <v>Cosmo Chemical, Ltd.</v>
      </c>
      <c r="S9" s="154" t="str">
        <f t="shared" ca="1" si="0"/>
        <v>KR</v>
      </c>
      <c r="T9" s="154" t="str">
        <f ca="1">IF(B9="","",IF(ISERROR(MATCH($J9,SorP!$B$1:$B$6226,0)),"",INDIRECT("'SorP'!$A$"&amp;MATCH($S9&amp;$J9,SorP!C:C,0))))</f>
        <v>KR-48</v>
      </c>
      <c r="U9" s="167"/>
      <c r="V9" s="168">
        <f ca="1">IF(C9="",NA(),MATCH($B9&amp;$C9,'Smelter Look-up'!$J:$J,0))</f>
        <v>20</v>
      </c>
      <c r="X9" s="169">
        <f t="shared" ca="1" si="1"/>
        <v>0</v>
      </c>
      <c r="AB9" s="312" t="str">
        <f t="shared" ca="1" si="2"/>
        <v>Cobalt</v>
      </c>
      <c r="AC9" s="169" t="str">
        <f t="shared" ca="1" si="3"/>
        <v>Cobalt</v>
      </c>
      <c r="AD9" s="169" t="str">
        <f t="shared" ca="1" si="4"/>
        <v>Cosmo Chemical, Ltd.</v>
      </c>
    </row>
    <row r="10" spans="1:34" s="169" customFormat="1" ht="63.75">
      <c r="A10" s="196" t="s">
        <v>96</v>
      </c>
      <c r="B10" s="302" t="str">
        <f ca="1">IF(LEN(A10)=0,"",INDEX('Smelter Look-up'!$A:$A,MATCH($A10,'Smelter Look-up'!$E:$E,0)))</f>
        <v>Cobalt</v>
      </c>
      <c r="C10" s="151" t="str">
        <f ca="1">IF(LEN(A10)=0,"",INDEX('Smelter Look-up'!$C:$C,MATCH($A10,'Smelter Look-up'!$E:$E,0)))</f>
        <v>Fort Saskatchewan Metals Facility</v>
      </c>
      <c r="D10" s="148"/>
      <c r="E10" s="148" t="str">
        <f ca="1">IF(ISERROR($V10),"",OFFSET('Smelter Look-up'!$D$4,$V10-4,0)&amp;"")</f>
        <v>CANADA</v>
      </c>
      <c r="F10" s="148" t="str">
        <f ca="1">IF(ISERROR($V10),"",OFFSET('Smelter Look-up'!$E$4,$V10-4,0))</f>
        <v>CID003242</v>
      </c>
      <c r="G10" s="148" t="str">
        <f ca="1">IF(C10=$X$4,"Enter smelter details",IF(ISERROR($V10),"",OFFSET('Smelter Look-up'!$F$4,$V10-4,0)))</f>
        <v>RMI</v>
      </c>
      <c r="H10" s="204">
        <f ca="1">IF(ISERROR($V10),"",OFFSET('Smelter Look-up'!$G$4,$V10-4,0))</f>
        <v>0</v>
      </c>
      <c r="I10" s="205" t="str">
        <f ca="1">IF(ISERROR($V10),"",OFFSET('Smelter Look-up'!$H$4,$V10-4,0))</f>
        <v>Toronto</v>
      </c>
      <c r="J10" s="205" t="str">
        <f ca="1">IF(ISERROR($V10),"",OFFSET('Smelter Look-up'!$I$4,$V10-4,0))</f>
        <v>Ontario</v>
      </c>
      <c r="K10" s="149"/>
      <c r="L10" s="149"/>
      <c r="M10" s="149"/>
      <c r="N10" s="149"/>
      <c r="O10" s="149"/>
      <c r="P10" s="207"/>
      <c r="Q10" s="150"/>
      <c r="R10" s="148" t="str">
        <f ca="1">IF(ISERROR($V10),"",OFFSET('Smelter Look-up'!$C$4,$V10-4,0)&amp;"")</f>
        <v>Fort Saskatchewan Metals Facility</v>
      </c>
      <c r="S10" s="154" t="str">
        <f t="shared" ca="1" si="0"/>
        <v>CA</v>
      </c>
      <c r="T10" s="154" t="str">
        <f ca="1">IF(B10="","",IF(ISERROR(MATCH($J10,SorP!$B$1:$B$6226,0)),"",INDIRECT("'SorP'!$A$"&amp;MATCH($S10&amp;$J10,SorP!C:C,0))))</f>
        <v>CA-ON</v>
      </c>
      <c r="U10" s="167"/>
      <c r="V10" s="168">
        <f ca="1">IF(C10="",NA(),MATCH($B10&amp;$C10,'Smelter Look-up'!$J:$J,0))</f>
        <v>29</v>
      </c>
      <c r="X10" s="169">
        <f t="shared" ca="1" si="1"/>
        <v>0</v>
      </c>
      <c r="AB10" s="312" t="str">
        <f t="shared" ca="1" si="2"/>
        <v>Cobalt</v>
      </c>
      <c r="AC10" s="169" t="str">
        <f t="shared" ca="1" si="3"/>
        <v>Cobalt</v>
      </c>
      <c r="AD10" s="169" t="str">
        <f t="shared" ca="1" si="4"/>
        <v>Fort Saskatchewan Metals Facility</v>
      </c>
    </row>
    <row r="11" spans="1:34" s="169" customFormat="1" ht="51">
      <c r="A11" s="197" t="s">
        <v>312</v>
      </c>
      <c r="B11" s="302" t="str">
        <f ca="1">IF(LEN(A11)=0,"",INDEX('Smelter Look-up'!$A:$A,MATCH($A11,'Smelter Look-up'!$E:$E,0)))</f>
        <v>Mica</v>
      </c>
      <c r="C11" s="151" t="str">
        <f ca="1">IF(LEN(A11)=0,"",INDEX('Smelter Look-up'!$C:$C,MATCH($A11,'Smelter Look-up'!$E:$E,0)))</f>
        <v>G. K. INTERNATIONAL</v>
      </c>
      <c r="D11" s="148"/>
      <c r="E11" s="148" t="str">
        <f ca="1">IF(ISERROR($V11),"",OFFSET('Smelter Look-up'!$D$4,$V11-4,0)&amp;"")</f>
        <v>INDIA</v>
      </c>
      <c r="F11" s="148" t="str">
        <f ca="1">IF(ISERROR($V11),"",OFFSET('Smelter Look-up'!$E$4,$V11-4,0))</f>
        <v>CID003623</v>
      </c>
      <c r="G11" s="148" t="str">
        <f ca="1">IF(C11=$X$4,"Enter smelter details",IF(ISERROR($V11),"",OFFSET('Smelter Look-up'!$F$4,$V11-4,0)))</f>
        <v>RMI</v>
      </c>
      <c r="H11" s="204">
        <f ca="1">IF(ISERROR($V11),"",OFFSET('Smelter Look-up'!$G$4,$V11-4,0))</f>
        <v>0</v>
      </c>
      <c r="I11" s="205" t="str">
        <f ca="1">IF(ISERROR($V11),"",OFFSET('Smelter Look-up'!$H$4,$V11-4,0))</f>
        <v>Kolkata</v>
      </c>
      <c r="J11" s="205" t="str">
        <f ca="1">IF(ISERROR($V11),"",OFFSET('Smelter Look-up'!$I$4,$V11-4,0))</f>
        <v>West Bengal</v>
      </c>
      <c r="K11" s="149"/>
      <c r="L11" s="149"/>
      <c r="M11" s="149"/>
      <c r="N11" s="149"/>
      <c r="O11" s="149"/>
      <c r="P11" s="207"/>
      <c r="Q11" s="150"/>
      <c r="R11" s="148" t="str">
        <f ca="1">IF(ISERROR($V11),"",OFFSET('Smelter Look-up'!$C$4,$V11-4,0)&amp;"")</f>
        <v>G. K. INTERNATIONAL</v>
      </c>
      <c r="S11" s="154" t="str">
        <f t="shared" ca="1" si="0"/>
        <v>IN</v>
      </c>
      <c r="T11" s="154" t="str">
        <f ca="1">IF(B11="","",IF(ISERROR(MATCH($J11,SorP!$B$1:$B$6226,0)),"",INDIRECT("'SorP'!$A$"&amp;MATCH($S11&amp;$J11,SorP!C:C,0))))</f>
        <v>IN-WB</v>
      </c>
      <c r="U11" s="167"/>
      <c r="V11" s="168">
        <f ca="1">IF(C11="",NA(),MATCH($B11&amp;$C11,'Smelter Look-up'!$J:$J,0))</f>
        <v>401</v>
      </c>
      <c r="X11" s="169">
        <f t="shared" ca="1" si="1"/>
        <v>0</v>
      </c>
      <c r="AB11" s="312" t="str">
        <f t="shared" ca="1" si="2"/>
        <v>Mica</v>
      </c>
      <c r="AC11" s="169" t="str">
        <f t="shared" ca="1" si="3"/>
        <v>Mica</v>
      </c>
      <c r="AD11" s="169" t="str">
        <f t="shared" ca="1" si="4"/>
        <v>G. K. INTERNATIONAL</v>
      </c>
    </row>
    <row r="12" spans="1:34" s="169" customFormat="1" ht="38.25">
      <c r="A12" s="196" t="s">
        <v>348</v>
      </c>
      <c r="B12" s="302" t="str">
        <f ca="1">IF(LEN(A12)=0,"",INDEX('Smelter Look-up'!$A:$A,MATCH($A12,'Smelter Look-up'!$E:$E,0)))</f>
        <v>Mica</v>
      </c>
      <c r="C12" s="151" t="str">
        <f ca="1">IF(LEN(A12)=0,"",INDEX('Smelter Look-up'!$C:$C,MATCH($A12,'Smelter Look-up'!$E:$E,0)))</f>
        <v>Yamaguchi Mica</v>
      </c>
      <c r="D12" s="148"/>
      <c r="E12" s="148" t="str">
        <f ca="1">IF(ISERROR($V12),"",OFFSET('Smelter Look-up'!$D$4,$V12-4,0)&amp;"")</f>
        <v>JAPAN</v>
      </c>
      <c r="F12" s="148" t="str">
        <f ca="1">IF(ISERROR($V12),"",OFFSET('Smelter Look-up'!$E$4,$V12-4,0))</f>
        <v>CID003512</v>
      </c>
      <c r="G12" s="148" t="str">
        <f ca="1">IF(C12=$X$4,"Enter smelter details",IF(ISERROR($V12),"",OFFSET('Smelter Look-up'!$F$4,$V12-4,0)))</f>
        <v>RMI</v>
      </c>
      <c r="H12" s="204">
        <f ca="1">IF(ISERROR($V12),"",OFFSET('Smelter Look-up'!$G$4,$V12-4,0))</f>
        <v>0</v>
      </c>
      <c r="I12" s="205" t="str">
        <f ca="1">IF(ISERROR($V12),"",OFFSET('Smelter Look-up'!$H$4,$V12-4,0))</f>
        <v>Toyokawa</v>
      </c>
      <c r="J12" s="205" t="str">
        <f ca="1">IF(ISERROR($V12),"",OFFSET('Smelter Look-up'!$I$4,$V12-4,0))</f>
        <v>Aichi</v>
      </c>
      <c r="K12" s="149"/>
      <c r="L12" s="149"/>
      <c r="M12" s="149"/>
      <c r="N12" s="149"/>
      <c r="O12" s="149"/>
      <c r="P12" s="207"/>
      <c r="Q12" s="150"/>
      <c r="R12" s="148" t="str">
        <f ca="1">IF(ISERROR($V12),"",OFFSET('Smelter Look-up'!$C$4,$V12-4,0)&amp;"")</f>
        <v>Yamaguchi Mica</v>
      </c>
      <c r="S12" s="154" t="str">
        <f t="shared" ca="1" si="0"/>
        <v>JP</v>
      </c>
      <c r="T12" s="154" t="str">
        <f ca="1">IF(B12="","",IF(ISERROR(MATCH($J12,SorP!$B$1:$B$6226,0)),"",INDIRECT("'SorP'!$A$"&amp;MATCH($S12&amp;$J12,SorP!C:C,0))))</f>
        <v>JP-23</v>
      </c>
      <c r="U12" s="167"/>
      <c r="V12" s="168">
        <f ca="1">IF(C12="",NA(),MATCH($B12&amp;$C12,'Smelter Look-up'!$J:$J,0))</f>
        <v>426</v>
      </c>
      <c r="X12" s="169">
        <f t="shared" ca="1" si="1"/>
        <v>0</v>
      </c>
      <c r="AB12" s="312" t="str">
        <f t="shared" ca="1" si="2"/>
        <v>Mica</v>
      </c>
      <c r="AC12" s="169" t="str">
        <f t="shared" ca="1" si="3"/>
        <v>Mica</v>
      </c>
      <c r="AD12" s="169" t="str">
        <f t="shared" ca="1" si="4"/>
        <v>Yamaguchi Mica</v>
      </c>
    </row>
    <row r="13" spans="1:34" s="169" customFormat="1" ht="38.25">
      <c r="A13" s="196" t="s">
        <v>316</v>
      </c>
      <c r="B13" s="302" t="str">
        <f ca="1">IF(LEN(A13)=0,"",INDEX('Smelter Look-up'!$A:$A,MATCH($A13,'Smelter Look-up'!$E:$E,0)))</f>
        <v>Mica</v>
      </c>
      <c r="C13" s="151" t="str">
        <f ca="1">IF(LEN(A13)=0,"",INDEX('Smelter Look-up'!$C:$C,MATCH($A13,'Smelter Look-up'!$E:$E,0)))</f>
        <v>Imerys Canada, Inc.</v>
      </c>
      <c r="D13" s="148"/>
      <c r="E13" s="148" t="str">
        <f ca="1">IF(ISERROR($V13),"",OFFSET('Smelter Look-up'!$D$4,$V13-4,0)&amp;"")</f>
        <v>CANADA</v>
      </c>
      <c r="F13" s="148" t="str">
        <f ca="1">IF(ISERROR($V13),"",OFFSET('Smelter Look-up'!$E$4,$V13-4,0))</f>
        <v>CID003589</v>
      </c>
      <c r="G13" s="148" t="str">
        <f ca="1">IF(C13=$X$4,"Enter smelter details",IF(ISERROR($V13),"",OFFSET('Smelter Look-up'!$F$4,$V13-4,0)))</f>
        <v>RMI</v>
      </c>
      <c r="H13" s="204">
        <f ca="1">IF(ISERROR($V13),"",OFFSET('Smelter Look-up'!$G$4,$V13-4,0))</f>
        <v>0</v>
      </c>
      <c r="I13" s="205" t="str">
        <f ca="1">IF(ISERROR($V13),"",OFFSET('Smelter Look-up'!$H$4,$V13-4,0))</f>
        <v>Montreal</v>
      </c>
      <c r="J13" s="205" t="str">
        <f ca="1">IF(ISERROR($V13),"",OFFSET('Smelter Look-up'!$I$4,$V13-4,0))</f>
        <v>Quebec</v>
      </c>
      <c r="K13" s="149"/>
      <c r="L13" s="149"/>
      <c r="M13" s="149"/>
      <c r="N13" s="149"/>
      <c r="O13" s="149"/>
      <c r="P13" s="207"/>
      <c r="Q13" s="150"/>
      <c r="R13" s="148" t="str">
        <f ca="1">IF(ISERROR($V13),"",OFFSET('Smelter Look-up'!$C$4,$V13-4,0)&amp;"")</f>
        <v>Imerys Canada, Inc.</v>
      </c>
      <c r="S13" s="154" t="str">
        <f t="shared" ref="S13:S63" ca="1" si="5">IF(B13="","",IF(ISERROR(MATCH($E13,CL,0)),"Unknown",INDIRECT("'C'!$A$"&amp;MATCH($E13,CL,0)+1)))</f>
        <v>CA</v>
      </c>
      <c r="T13" s="154" t="str">
        <f ca="1">IF(B13="","",IF(ISERROR(MATCH($J13,SorP!$B$1:$B$6226,0)),"",INDIRECT("'SorP'!$A$"&amp;MATCH($S13&amp;$J13,SorP!C:C,0))))</f>
        <v>CA-QC</v>
      </c>
      <c r="U13" s="167"/>
      <c r="V13" s="168">
        <f ca="1">IF(C13="",NA(),MATCH($B13&amp;$C13,'Smelter Look-up'!$J:$J,0))</f>
        <v>404</v>
      </c>
      <c r="X13" s="169">
        <f t="shared" ref="X13:X62" ca="1" si="6">IF(AND(C13="Smelter not listed",OR(LEN(D13)=0,LEN(E13)=0)),1,0)</f>
        <v>0</v>
      </c>
      <c r="AB13" s="312" t="str">
        <f t="shared" ref="AB13:AB69" ca="1" si="7">IF(C13="","",B13)</f>
        <v>Mica</v>
      </c>
      <c r="AC13" s="169" t="str">
        <f t="shared" ca="1" si="3"/>
        <v>Mica</v>
      </c>
      <c r="AD13" s="169" t="str">
        <f t="shared" ca="1" si="4"/>
        <v>Imerys Canada, Inc.</v>
      </c>
    </row>
    <row r="14" spans="1:34" s="169" customFormat="1" ht="63.75">
      <c r="A14" s="197" t="s">
        <v>328</v>
      </c>
      <c r="B14" s="302" t="str">
        <f ca="1">IF(LEN(A14)=0,"",INDEX('Smelter Look-up'!$A:$A,MATCH($A14,'Smelter Look-up'!$E:$E,0)))</f>
        <v>Mica</v>
      </c>
      <c r="C14" s="151" t="str">
        <f ca="1">IF(LEN(A14)=0,"",INDEX('Smelter Look-up'!$C:$C,MATCH($A14,'Smelter Look-up'!$E:$E,0)))</f>
        <v>LAXIM MINERALS CORPORATION</v>
      </c>
      <c r="D14" s="148"/>
      <c r="E14" s="148" t="str">
        <f ca="1">IF(ISERROR($V14),"",OFFSET('Smelter Look-up'!$D$4,$V14-4,0)&amp;"")</f>
        <v>INDIA</v>
      </c>
      <c r="F14" s="148" t="str">
        <f ca="1">IF(ISERROR($V14),"",OFFSET('Smelter Look-up'!$E$4,$V14-4,0))</f>
        <v>CID003624</v>
      </c>
      <c r="G14" s="148" t="str">
        <f ca="1">IF(C14=$X$4,"Enter smelter details",IF(ISERROR($V14),"",OFFSET('Smelter Look-up'!$F$4,$V14-4,0)))</f>
        <v>RMI</v>
      </c>
      <c r="H14" s="204">
        <f ca="1">IF(ISERROR($V14),"",OFFSET('Smelter Look-up'!$G$4,$V14-4,0))</f>
        <v>0</v>
      </c>
      <c r="I14" s="205" t="str">
        <f ca="1">IF(ISERROR($V14),"",OFFSET('Smelter Look-up'!$H$4,$V14-4,0))</f>
        <v>Koderma</v>
      </c>
      <c r="J14" s="205" t="str">
        <f ca="1">IF(ISERROR($V14),"",OFFSET('Smelter Look-up'!$I$4,$V14-4,0))</f>
        <v>Jhārkhand</v>
      </c>
      <c r="K14" s="149"/>
      <c r="L14" s="149"/>
      <c r="M14" s="149"/>
      <c r="N14" s="149"/>
      <c r="O14" s="149"/>
      <c r="P14" s="207"/>
      <c r="Q14" s="150"/>
      <c r="R14" s="148" t="str">
        <f ca="1">IF(ISERROR($V14),"",OFFSET('Smelter Look-up'!$C$4,$V14-4,0)&amp;"")</f>
        <v>LAXIM MINERALS CORPORATION</v>
      </c>
      <c r="S14" s="154" t="str">
        <f t="shared" ca="1" si="5"/>
        <v>IN</v>
      </c>
      <c r="T14" s="154" t="str">
        <f ca="1">IF(B14="","",IF(ISERROR(MATCH($J14,SorP!$B$1:$B$6226,0)),"",INDIRECT("'SorP'!$A$"&amp;MATCH($S14&amp;$J14,SorP!C:C,0))))</f>
        <v>IN-JH</v>
      </c>
      <c r="U14" s="167"/>
      <c r="V14" s="168">
        <f ca="1">IF(C14="",NA(),MATCH($B14&amp;$C14,'Smelter Look-up'!$J:$J,0))</f>
        <v>408</v>
      </c>
      <c r="X14" s="169">
        <f t="shared" ca="1" si="6"/>
        <v>0</v>
      </c>
      <c r="AB14" s="312" t="str">
        <f t="shared" ca="1" si="7"/>
        <v>Mica</v>
      </c>
      <c r="AC14" s="169" t="str">
        <f t="shared" ca="1" si="3"/>
        <v>Mica</v>
      </c>
      <c r="AD14" s="169" t="str">
        <f t="shared" ca="1" si="4"/>
        <v>LAXIM MINERALS CORPORATION</v>
      </c>
    </row>
    <row r="15" spans="1:34" s="169" customFormat="1" ht="89.25">
      <c r="A15" s="197" t="s">
        <v>18707</v>
      </c>
      <c r="B15" s="302" t="str">
        <f ca="1">IF(LEN(A15)=0,"",INDEX('Smelter Look-up'!$A:$A,MATCH($A15,'Smelter Look-up'!$E:$E,0)))</f>
        <v>Copper</v>
      </c>
      <c r="C15" s="151" t="str">
        <f ca="1">IF(LEN(A15)=0,"",INDEX('Smelter Look-up'!$C:$C,MATCH($A15,'Smelter Look-up'!$E:$E,0)))</f>
        <v>Hindalco Industries Ltd - Unit Birla Copper</v>
      </c>
      <c r="D15" s="148"/>
      <c r="E15" s="148" t="str">
        <f ca="1">IF(ISERROR($V15),"",OFFSET('Smelter Look-up'!$D$4,$V15-4,0)&amp;"")</f>
        <v>INDIA</v>
      </c>
      <c r="F15" s="148" t="str">
        <f ca="1">IF(ISERROR($V15),"",OFFSET('Smelter Look-up'!$E$4,$V15-4,0))</f>
        <v>CID004224</v>
      </c>
      <c r="G15" s="148" t="str">
        <f ca="1">IF(C15=$X$4,"Enter smelter details",IF(ISERROR($V15),"",OFFSET('Smelter Look-up'!$F$4,$V15-4,0)))</f>
        <v>RMI</v>
      </c>
      <c r="H15" s="204">
        <f ca="1">IF(ISERROR($V15),"",OFFSET('Smelter Look-up'!$G$4,$V15-4,0))</f>
        <v>0</v>
      </c>
      <c r="I15" s="205" t="str">
        <f ca="1">IF(ISERROR($V15),"",OFFSET('Smelter Look-up'!$H$4,$V15-4,0))</f>
        <v>Bharuch</v>
      </c>
      <c r="J15" s="205" t="str">
        <f ca="1">IF(ISERROR($V15),"",OFFSET('Smelter Look-up'!$I$4,$V15-4,0))</f>
        <v>Gujarāt</v>
      </c>
      <c r="K15" s="149"/>
      <c r="L15" s="149"/>
      <c r="M15" s="149"/>
      <c r="N15" s="149"/>
      <c r="O15" s="149"/>
      <c r="P15" s="207"/>
      <c r="Q15" s="150"/>
      <c r="R15" s="148" t="str">
        <f ca="1">IF(ISERROR($V15),"",OFFSET('Smelter Look-up'!$C$4,$V15-4,0)&amp;"")</f>
        <v>Hindalco Industries Ltd - Unit Birla Copper</v>
      </c>
      <c r="S15" s="154" t="str">
        <f t="shared" ca="1" si="5"/>
        <v>IN</v>
      </c>
      <c r="T15" s="154" t="str">
        <f ca="1">IF(B15="","",IF(ISERROR(MATCH($J15,SorP!$B$1:$B$6226,0)),"",INDIRECT("'SorP'!$A$"&amp;MATCH($S15&amp;$J15,SorP!C:C,0))))</f>
        <v>IN-GJ</v>
      </c>
      <c r="U15" s="167"/>
      <c r="V15" s="168">
        <f ca="1">IF(C15="",NA(),MATCH($B15&amp;$C15,'Smelter Look-up'!$J:$J,0))</f>
        <v>227</v>
      </c>
      <c r="X15" s="169">
        <f t="shared" ca="1" si="6"/>
        <v>0</v>
      </c>
      <c r="AB15" s="312" t="str">
        <f t="shared" ca="1" si="7"/>
        <v>Copper</v>
      </c>
      <c r="AC15" s="169" t="str">
        <f t="shared" ca="1" si="3"/>
        <v>Copper</v>
      </c>
      <c r="AD15" s="169" t="str">
        <f t="shared" ca="1" si="4"/>
        <v>Hindalco Industries Ltd - Unit Birla Copper</v>
      </c>
    </row>
    <row r="16" spans="1:34" s="169" customFormat="1" ht="63.75">
      <c r="A16" s="196" t="s">
        <v>18824</v>
      </c>
      <c r="B16" s="302" t="str">
        <f ca="1">IF(LEN(A16)=0,"",INDEX('Smelter Look-up'!$A:$A,MATCH($A16,'Smelter Look-up'!$E:$E,0)))</f>
        <v>Copper</v>
      </c>
      <c r="C16" s="151" t="str">
        <f ca="1">IF(LEN(A16)=0,"",INDEX('Smelter Look-up'!$C:$C,MATCH($A16,'Smelter Look-up'!$E:$E,0)))</f>
        <v>Vedanta Limited-Sterlite Copper</v>
      </c>
      <c r="D16" s="148"/>
      <c r="E16" s="148" t="str">
        <f ca="1">IF(ISERROR($V16),"",OFFSET('Smelter Look-up'!$D$4,$V16-4,0)&amp;"")</f>
        <v>INDIA</v>
      </c>
      <c r="F16" s="148" t="str">
        <f ca="1">IF(ISERROR($V16),"",OFFSET('Smelter Look-up'!$E$4,$V16-4,0))</f>
        <v>CID004228</v>
      </c>
      <c r="G16" s="148" t="str">
        <f ca="1">IF(C16=$X$4,"Enter smelter details",IF(ISERROR($V16),"",OFFSET('Smelter Look-up'!$F$4,$V16-4,0)))</f>
        <v>RMI</v>
      </c>
      <c r="H16" s="204">
        <f ca="1">IF(ISERROR($V16),"",OFFSET('Smelter Look-up'!$G$4,$V16-4,0))</f>
        <v>0</v>
      </c>
      <c r="I16" s="205" t="str">
        <f ca="1">IF(ISERROR($V16),"",OFFSET('Smelter Look-up'!$H$4,$V16-4,0))</f>
        <v>Silvassa</v>
      </c>
      <c r="J16" s="205" t="str">
        <f ca="1">IF(ISERROR($V16),"",OFFSET('Smelter Look-up'!$I$4,$V16-4,0))</f>
        <v>Dādra and Nagar Haveli and Damān and Diu</v>
      </c>
      <c r="K16" s="149"/>
      <c r="L16" s="149"/>
      <c r="M16" s="149"/>
      <c r="N16" s="149"/>
      <c r="O16" s="149"/>
      <c r="P16" s="207"/>
      <c r="Q16" s="150"/>
      <c r="R16" s="148" t="str">
        <f ca="1">IF(ISERROR($V16),"",OFFSET('Smelter Look-up'!$C$4,$V16-4,0)&amp;"")</f>
        <v>Vedanta Limited-Sterlite Copper</v>
      </c>
      <c r="S16" s="154" t="str">
        <f t="shared" ca="1" si="5"/>
        <v>IN</v>
      </c>
      <c r="T16" s="154" t="str">
        <f ca="1">IF(B16="","",IF(ISERROR(MATCH($J16,SorP!$B$1:$B$6226,0)),"",INDIRECT("'SorP'!$A$"&amp;MATCH($S16&amp;$J16,SorP!C:C,0))))</f>
        <v>IN-DH</v>
      </c>
      <c r="U16" s="167"/>
      <c r="V16" s="168">
        <f ca="1">IF(C16="",NA(),MATCH($B16&amp;$C16,'Smelter Look-up'!$J:$J,0))</f>
        <v>307</v>
      </c>
      <c r="X16" s="169">
        <f t="shared" ca="1" si="6"/>
        <v>0</v>
      </c>
      <c r="AB16" s="312" t="str">
        <f t="shared" ca="1" si="7"/>
        <v>Copper</v>
      </c>
      <c r="AC16" s="169" t="str">
        <f t="shared" ca="1" si="3"/>
        <v>Copper</v>
      </c>
      <c r="AD16" s="169" t="str">
        <f t="shared" ca="1" si="4"/>
        <v>Vedanta Limited-Sterlite Copper</v>
      </c>
    </row>
    <row r="17" spans="1:30" s="169" customFormat="1" ht="102">
      <c r="A17" s="196" t="s">
        <v>18746</v>
      </c>
      <c r="B17" s="302" t="str">
        <f ca="1">IF(LEN(A17)=0,"",INDEX('Smelter Look-up'!$A:$A,MATCH($A17,'Smelter Look-up'!$E:$E,0)))</f>
        <v>Copper</v>
      </c>
      <c r="C17" s="151" t="str">
        <f ca="1">IF(LEN(A17)=0,"",INDEX('Smelter Look-up'!$C:$C,MATCH($A17,'Smelter Look-up'!$E:$E,0)))</f>
        <v>JX Nippon Mining &amp; Metals Co., Ltd. Hitachi</v>
      </c>
      <c r="D17" s="148"/>
      <c r="E17" s="148" t="str">
        <f ca="1">IF(ISERROR($V17),"",OFFSET('Smelter Look-up'!$D$4,$V17-4,0)&amp;"")</f>
        <v>JAPAN</v>
      </c>
      <c r="F17" s="148" t="str">
        <f ca="1">IF(ISERROR($V17),"",OFFSET('Smelter Look-up'!$E$4,$V17-4,0))</f>
        <v>CID003996</v>
      </c>
      <c r="G17" s="148" t="str">
        <f ca="1">IF(C17=$X$4,"Enter smelter details",IF(ISERROR($V17),"",OFFSET('Smelter Look-up'!$F$4,$V17-4,0)))</f>
        <v>RMI</v>
      </c>
      <c r="H17" s="204">
        <f ca="1">IF(ISERROR($V17),"",OFFSET('Smelter Look-up'!$G$4,$V17-4,0))</f>
        <v>0</v>
      </c>
      <c r="I17" s="205" t="str">
        <f ca="1">IF(ISERROR($V17),"",OFFSET('Smelter Look-up'!$H$4,$V17-4,0))</f>
        <v>Hitachi-shi</v>
      </c>
      <c r="J17" s="205" t="str">
        <f ca="1">IF(ISERROR($V17),"",OFFSET('Smelter Look-up'!$I$4,$V17-4,0))</f>
        <v>Ibaraki</v>
      </c>
      <c r="K17" s="149"/>
      <c r="L17" s="149"/>
      <c r="M17" s="149"/>
      <c r="N17" s="149"/>
      <c r="O17" s="149"/>
      <c r="P17" s="207"/>
      <c r="Q17" s="150"/>
      <c r="R17" s="148" t="str">
        <f ca="1">IF(ISERROR($V17),"",OFFSET('Smelter Look-up'!$C$4,$V17-4,0)&amp;"")</f>
        <v>JX Nippon Mining &amp; Metals Co., Ltd. Hitachi</v>
      </c>
      <c r="S17" s="154" t="str">
        <f t="shared" ca="1" si="5"/>
        <v>JP</v>
      </c>
      <c r="T17" s="154" t="str">
        <f ca="1">IF(B17="","",IF(ISERROR(MATCH($J17,SorP!$B$1:$B$6226,0)),"",INDIRECT("'SorP'!$A$"&amp;MATCH($S17&amp;$J17,SorP!C:C,0))))</f>
        <v>JP-08</v>
      </c>
      <c r="U17" s="167"/>
      <c r="V17" s="168">
        <f ca="1">IF(C17="",NA(),MATCH($B17&amp;$C17,'Smelter Look-up'!$J:$J,0))</f>
        <v>233</v>
      </c>
      <c r="X17" s="169">
        <f t="shared" ca="1" si="6"/>
        <v>0</v>
      </c>
      <c r="AB17" s="312" t="str">
        <f t="shared" ca="1" si="7"/>
        <v>Copper</v>
      </c>
      <c r="AC17" s="169" t="str">
        <f t="shared" ca="1" si="3"/>
        <v>Copper</v>
      </c>
      <c r="AD17" s="169" t="str">
        <f t="shared" ca="1" si="4"/>
        <v>JX Nippon Mining &amp; Metals Co., Ltd. Hitachi</v>
      </c>
    </row>
    <row r="18" spans="1:30" s="169" customFormat="1" ht="25.5">
      <c r="A18" s="196" t="s">
        <v>18795</v>
      </c>
      <c r="B18" s="302" t="str">
        <f ca="1">IF(LEN(A18)=0,"",INDEX('Smelter Look-up'!$A:$A,MATCH($A18,'Smelter Look-up'!$E:$E,0)))</f>
        <v>Copper</v>
      </c>
      <c r="C18" s="151" t="str">
        <f ca="1">IF(LEN(A18)=0,"",INDEX('Smelter Look-up'!$C:$C,MATCH($A18,'Smelter Look-up'!$E:$E,0)))</f>
        <v>Olympic Dam</v>
      </c>
      <c r="D18" s="148"/>
      <c r="E18" s="148" t="str">
        <f ca="1">IF(ISERROR($V18),"",OFFSET('Smelter Look-up'!$D$4,$V18-4,0)&amp;"")</f>
        <v>AUSTRALIA</v>
      </c>
      <c r="F18" s="148" t="str">
        <f ca="1">IF(ISERROR($V18),"",OFFSET('Smelter Look-up'!$E$4,$V18-4,0))</f>
        <v>CID004071</v>
      </c>
      <c r="G18" s="148" t="str">
        <f ca="1">IF(C18=$X$4,"Enter smelter details",IF(ISERROR($V18),"",OFFSET('Smelter Look-up'!$F$4,$V18-4,0)))</f>
        <v>RMI</v>
      </c>
      <c r="H18" s="204">
        <f ca="1">IF(ISERROR($V18),"",OFFSET('Smelter Look-up'!$G$4,$V18-4,0))</f>
        <v>0</v>
      </c>
      <c r="I18" s="205" t="str">
        <f ca="1">IF(ISERROR($V18),"",OFFSET('Smelter Look-up'!$H$4,$V18-4,0))</f>
        <v>Adelaide</v>
      </c>
      <c r="J18" s="205" t="str">
        <f ca="1">IF(ISERROR($V18),"",OFFSET('Smelter Look-up'!$I$4,$V18-4,0))</f>
        <v>South Australia</v>
      </c>
      <c r="K18" s="149"/>
      <c r="L18" s="149"/>
      <c r="M18" s="149"/>
      <c r="N18" s="149"/>
      <c r="O18" s="149"/>
      <c r="P18" s="207"/>
      <c r="Q18" s="150"/>
      <c r="R18" s="148" t="str">
        <f ca="1">IF(ISERROR($V18),"",OFFSET('Smelter Look-up'!$C$4,$V18-4,0)&amp;"")</f>
        <v>Olympic Dam</v>
      </c>
      <c r="S18" s="154" t="str">
        <f t="shared" ca="1" si="5"/>
        <v>AU</v>
      </c>
      <c r="T18" s="154" t="str">
        <f ca="1">IF(B18="","",IF(ISERROR(MATCH($J18,SorP!$B$1:$B$6226,0)),"",INDIRECT("'SorP'!$A$"&amp;MATCH($S18&amp;$J18,SorP!C:C,0))))</f>
        <v>AU-SA</v>
      </c>
      <c r="U18" s="167"/>
      <c r="V18" s="168">
        <f ca="1">IF(C18="",NA(),MATCH($B18&amp;$C18,'Smelter Look-up'!$J:$J,0))</f>
        <v>276</v>
      </c>
      <c r="X18" s="169">
        <f t="shared" ca="1" si="6"/>
        <v>0</v>
      </c>
      <c r="AB18" s="312" t="str">
        <f t="shared" ca="1" si="7"/>
        <v>Copper</v>
      </c>
      <c r="AC18" s="169" t="str">
        <f t="shared" ca="1" si="3"/>
        <v>Copper</v>
      </c>
      <c r="AD18" s="169" t="str">
        <f t="shared" ca="1" si="4"/>
        <v>Olympic Dam</v>
      </c>
    </row>
    <row r="19" spans="1:30" s="169" customFormat="1" ht="114.75">
      <c r="A19" s="196" t="s">
        <v>18789</v>
      </c>
      <c r="B19" s="302" t="str">
        <f ca="1">IF(LEN(A19)=0,"",INDEX('Smelter Look-up'!$A:$A,MATCH($A19,'Smelter Look-up'!$E:$E,0)))</f>
        <v>Copper</v>
      </c>
      <c r="C19" s="151" t="str">
        <f ca="1">IF(LEN(A19)=0,"",INDEX('Smelter Look-up'!$C:$C,MATCH($A19,'Smelter Look-up'!$E:$E,0)))</f>
        <v>Mount Isa Mines Limited - Copper Refineries Pty Ltd (CRL)</v>
      </c>
      <c r="D19" s="148"/>
      <c r="E19" s="148" t="str">
        <f ca="1">IF(ISERROR($V19),"",OFFSET('Smelter Look-up'!$D$4,$V19-4,0)&amp;"")</f>
        <v>AUSTRALIA</v>
      </c>
      <c r="F19" s="148" t="str">
        <f ca="1">IF(ISERROR($V19),"",OFFSET('Smelter Look-up'!$E$4,$V19-4,0))</f>
        <v>CID004429</v>
      </c>
      <c r="G19" s="148" t="str">
        <f ca="1">IF(C19=$X$4,"Enter smelter details",IF(ISERROR($V19),"",OFFSET('Smelter Look-up'!$F$4,$V19-4,0)))</f>
        <v>RMI</v>
      </c>
      <c r="H19" s="204">
        <f ca="1">IF(ISERROR($V19),"",OFFSET('Smelter Look-up'!$G$4,$V19-4,0))</f>
        <v>0</v>
      </c>
      <c r="I19" s="205" t="str">
        <f ca="1">IF(ISERROR($V19),"",OFFSET('Smelter Look-up'!$H$4,$V19-4,0))</f>
        <v>Stuart</v>
      </c>
      <c r="J19" s="205" t="str">
        <f ca="1">IF(ISERROR($V19),"",OFFSET('Smelter Look-up'!$I$4,$V19-4,0))</f>
        <v>Queensland</v>
      </c>
      <c r="K19" s="149"/>
      <c r="L19" s="149"/>
      <c r="M19" s="149"/>
      <c r="N19" s="149"/>
      <c r="O19" s="149"/>
      <c r="P19" s="207"/>
      <c r="Q19" s="150"/>
      <c r="R19" s="148" t="str">
        <f ca="1">IF(ISERROR($V19),"",OFFSET('Smelter Look-up'!$C$4,$V19-4,0)&amp;"")</f>
        <v>Mount Isa Mines Limited - Copper Refineries Pty Ltd (CRL)</v>
      </c>
      <c r="S19" s="154" t="str">
        <f t="shared" ca="1" si="5"/>
        <v>AU</v>
      </c>
      <c r="T19" s="154" t="str">
        <f ca="1">IF(B19="","",IF(ISERROR(MATCH($J19,SorP!$B$1:$B$6226,0)),"",INDIRECT("'SorP'!$A$"&amp;MATCH($S19&amp;$J19,SorP!C:C,0))))</f>
        <v>AU-QLD</v>
      </c>
      <c r="U19" s="167"/>
      <c r="V19" s="168">
        <f ca="1">IF(C19="",NA(),MATCH($B19&amp;$C19,'Smelter Look-up'!$J:$J,0))</f>
        <v>269</v>
      </c>
      <c r="X19" s="169">
        <f t="shared" ca="1" si="6"/>
        <v>0</v>
      </c>
      <c r="AB19" s="312" t="str">
        <f t="shared" ca="1" si="7"/>
        <v>Copper</v>
      </c>
      <c r="AC19" s="169" t="str">
        <f t="shared" ca="1" si="3"/>
        <v>Copper</v>
      </c>
      <c r="AD19" s="169" t="str">
        <f t="shared" ca="1" si="4"/>
        <v>Mount Isa Mines Limited - Copper Refineries Pty Ltd (CRL)</v>
      </c>
    </row>
    <row r="20" spans="1:30" s="169" customFormat="1" ht="63.75">
      <c r="A20" s="197" t="s">
        <v>19251</v>
      </c>
      <c r="B20" s="302" t="str">
        <f ca="1">IF(LEN(A20)=0,"",INDEX('Smelter Look-up'!$A:$A,MATCH($A20,'Smelter Look-up'!$E:$E,0)))</f>
        <v>Nickel</v>
      </c>
      <c r="C20" s="151" t="str">
        <f ca="1">IF(LEN(A20)=0,"",INDEX('Smelter Look-up'!$C:$C,MATCH($A20,'Smelter Look-up'!$E:$E,0)))</f>
        <v>LOHUM CLEANTECH PVT LTD</v>
      </c>
      <c r="D20" s="148"/>
      <c r="E20" s="148" t="str">
        <f ca="1">IF(ISERROR($V20),"",OFFSET('Smelter Look-up'!$D$4,$V20-4,0)&amp;"")</f>
        <v>INDIA</v>
      </c>
      <c r="F20" s="148" t="str">
        <f ca="1">IF(ISERROR($V20),"",OFFSET('Smelter Look-up'!$E$4,$V20-4,0))</f>
        <v>CID005220</v>
      </c>
      <c r="G20" s="148" t="str">
        <f ca="1">IF(C20=$X$4,"Enter smelter details",IF(ISERROR($V20),"",OFFSET('Smelter Look-up'!$F$4,$V20-4,0)))</f>
        <v>RMI</v>
      </c>
      <c r="H20" s="204">
        <f ca="1">IF(ISERROR($V20),"",OFFSET('Smelter Look-up'!$G$4,$V20-4,0))</f>
        <v>0</v>
      </c>
      <c r="I20" s="205" t="str">
        <f ca="1">IF(ISERROR($V20),"",OFFSET('Smelter Look-up'!$H$4,$V20-4,0))</f>
        <v>Greater Noida</v>
      </c>
      <c r="J20" s="205" t="str">
        <f ca="1">IF(ISERROR($V20),"",OFFSET('Smelter Look-up'!$I$4,$V20-4,0))</f>
        <v>Uttar Pradesh</v>
      </c>
      <c r="K20" s="149"/>
      <c r="L20" s="149"/>
      <c r="M20" s="149"/>
      <c r="N20" s="149"/>
      <c r="O20" s="149"/>
      <c r="P20" s="207"/>
      <c r="Q20" s="150"/>
      <c r="R20" s="148" t="str">
        <f ca="1">IF(ISERROR($V20),"",OFFSET('Smelter Look-up'!$C$4,$V20-4,0)&amp;"")</f>
        <v>LOHUM CLEANTECH PVT LTD</v>
      </c>
      <c r="S20" s="154" t="str">
        <f t="shared" ca="1" si="5"/>
        <v>IN</v>
      </c>
      <c r="T20" s="154" t="str">
        <f ca="1">IF(B20="","",IF(ISERROR(MATCH($J20,SorP!$B$1:$B$6226,0)),"",INDIRECT("'SorP'!$A$"&amp;MATCH($S20&amp;$J20,SorP!C:C,0))))</f>
        <v>IN-UP</v>
      </c>
      <c r="U20" s="167"/>
      <c r="V20" s="168">
        <f ca="1">IF(C20="",NA(),MATCH($B20&amp;$C20,'Smelter Look-up'!$J:$J,0))</f>
        <v>464</v>
      </c>
      <c r="X20" s="169">
        <f t="shared" ca="1" si="6"/>
        <v>0</v>
      </c>
      <c r="AB20" s="312" t="str">
        <f t="shared" ca="1" si="7"/>
        <v>Nickel</v>
      </c>
      <c r="AC20" s="169" t="str">
        <f t="shared" ca="1" si="3"/>
        <v>Nickel</v>
      </c>
      <c r="AD20" s="169" t="str">
        <f t="shared" ca="1" si="4"/>
        <v>LOHUM CLEANTECH PVT LTD</v>
      </c>
    </row>
    <row r="21" spans="1:30" s="169" customFormat="1" ht="76.5">
      <c r="A21" s="196" t="s">
        <v>18915</v>
      </c>
      <c r="B21" s="302" t="str">
        <f ca="1">IF(LEN(A21)=0,"",INDEX('Smelter Look-up'!$A:$A,MATCH($A21,'Smelter Look-up'!$E:$E,0)))</f>
        <v>Nickel</v>
      </c>
      <c r="C21" s="151" t="str">
        <f ca="1">IF(LEN(A21)=0,"",INDEX('Smelter Look-up'!$C:$C,MATCH($A21,'Smelter Look-up'!$E:$E,0)))</f>
        <v>Coral Bay Nickel Corporation (CBNC)</v>
      </c>
      <c r="D21" s="148"/>
      <c r="E21" s="148" t="str">
        <f ca="1">IF(ISERROR($V21),"",OFFSET('Smelter Look-up'!$D$4,$V21-4,0)&amp;"")</f>
        <v>PHILIPPINES</v>
      </c>
      <c r="F21" s="148" t="str">
        <f ca="1">IF(ISERROR($V21),"",OFFSET('Smelter Look-up'!$E$4,$V21-4,0))</f>
        <v>CID004575</v>
      </c>
      <c r="G21" s="148" t="str">
        <f ca="1">IF(C21=$X$4,"Enter smelter details",IF(ISERROR($V21),"",OFFSET('Smelter Look-up'!$F$4,$V21-4,0)))</f>
        <v>RMI</v>
      </c>
      <c r="H21" s="204">
        <f ca="1">IF(ISERROR($V21),"",OFFSET('Smelter Look-up'!$G$4,$V21-4,0))</f>
        <v>0</v>
      </c>
      <c r="I21" s="205" t="str">
        <f ca="1">IF(ISERROR($V21),"",OFFSET('Smelter Look-up'!$H$4,$V21-4,0))</f>
        <v>Barangay Rio Tuba, Municipality of Bataraza</v>
      </c>
      <c r="J21" s="205" t="str">
        <f ca="1">IF(ISERROR($V21),"",OFFSET('Smelter Look-up'!$I$4,$V21-4,0))</f>
        <v>Palawan</v>
      </c>
      <c r="K21" s="149"/>
      <c r="L21" s="149"/>
      <c r="M21" s="149"/>
      <c r="N21" s="149"/>
      <c r="O21" s="149"/>
      <c r="P21" s="207"/>
      <c r="Q21" s="150"/>
      <c r="R21" s="148" t="str">
        <f ca="1">IF(ISERROR($V21),"",OFFSET('Smelter Look-up'!$C$4,$V21-4,0)&amp;"")</f>
        <v>Coral Bay Nickel Corporation (CBNC)</v>
      </c>
      <c r="S21" s="154" t="str">
        <f t="shared" ca="1" si="5"/>
        <v>PH</v>
      </c>
      <c r="T21" s="154" t="str">
        <f ca="1">IF(B21="","",IF(ISERROR(MATCH($J21,SorP!$B$1:$B$6226,0)),"",INDIRECT("'SorP'!$A$"&amp;MATCH($S21&amp;$J21,SorP!C:C,0))))</f>
        <v>PH-PLW</v>
      </c>
      <c r="U21" s="167"/>
      <c r="V21" s="168">
        <f ca="1">IF(C21="",NA(),MATCH($B21&amp;$C21,'Smelter Look-up'!$J:$J,0))</f>
        <v>431</v>
      </c>
      <c r="X21" s="169">
        <f t="shared" ca="1" si="6"/>
        <v>0</v>
      </c>
      <c r="AB21" s="312" t="str">
        <f t="shared" ca="1" si="7"/>
        <v>Nickel</v>
      </c>
      <c r="AC21" s="169" t="str">
        <f t="shared" ca="1" si="3"/>
        <v>Nickel</v>
      </c>
      <c r="AD21" s="169" t="str">
        <f t="shared" ca="1" si="4"/>
        <v>Coral Bay Nickel Corporation (CBNC)</v>
      </c>
    </row>
    <row r="22" spans="1:30" s="169" customFormat="1" ht="102">
      <c r="A22" s="196" t="s">
        <v>18924</v>
      </c>
      <c r="B22" s="302" t="str">
        <f ca="1">IF(LEN(A22)=0,"",INDEX('Smelter Look-up'!$A:$A,MATCH($A22,'Smelter Look-up'!$E:$E,0)))</f>
        <v>Nickel</v>
      </c>
      <c r="C22" s="151" t="str">
        <f ca="1">IF(LEN(A22)=0,"",INDEX('Smelter Look-up'!$C:$C,MATCH($A22,'Smelter Look-up'!$E:$E,0)))</f>
        <v>Guizhou Red Star Electronic Material Co., Ltd.</v>
      </c>
      <c r="D22" s="148"/>
      <c r="E22" s="148" t="str">
        <f ca="1">IF(ISERROR($V22),"",OFFSET('Smelter Look-up'!$D$4,$V22-4,0)&amp;"")</f>
        <v>CHINA</v>
      </c>
      <c r="F22" s="148" t="str">
        <f ca="1">IF(ISERROR($V22),"",OFFSET('Smelter Look-up'!$E$4,$V22-4,0))</f>
        <v>CID004432</v>
      </c>
      <c r="G22" s="148" t="str">
        <f ca="1">IF(C22=$X$4,"Enter smelter details",IF(ISERROR($V22),"",OFFSET('Smelter Look-up'!$F$4,$V22-4,0)))</f>
        <v>RMI</v>
      </c>
      <c r="H22" s="204">
        <f ca="1">IF(ISERROR($V22),"",OFFSET('Smelter Look-up'!$G$4,$V22-4,0))</f>
        <v>0</v>
      </c>
      <c r="I22" s="205" t="str">
        <f ca="1">IF(ISERROR($V22),"",OFFSET('Smelter Look-up'!$H$4,$V22-4,0))</f>
        <v>Tongren</v>
      </c>
      <c r="J22" s="205" t="str">
        <f ca="1">IF(ISERROR($V22),"",OFFSET('Smelter Look-up'!$I$4,$V22-4,0))</f>
        <v>Guizhou Sheng</v>
      </c>
      <c r="K22" s="149"/>
      <c r="L22" s="149"/>
      <c r="M22" s="149"/>
      <c r="N22" s="149"/>
      <c r="O22" s="149"/>
      <c r="P22" s="207"/>
      <c r="Q22" s="150"/>
      <c r="R22" s="148" t="str">
        <f ca="1">IF(ISERROR($V22),"",OFFSET('Smelter Look-up'!$C$4,$V22-4,0)&amp;"")</f>
        <v>Guizhou Red Star Electronic Material Co., Ltd.</v>
      </c>
      <c r="S22" s="154" t="str">
        <f t="shared" ca="1" si="5"/>
        <v>CN</v>
      </c>
      <c r="T22" s="154" t="str">
        <f ca="1">IF(B22="","",IF(ISERROR(MATCH($J22,SorP!$B$1:$B$6226,0)),"",INDIRECT("'SorP'!$A$"&amp;MATCH($S22&amp;$J22,SorP!C:C,0))))</f>
        <v>CN-GZ</v>
      </c>
      <c r="U22" s="167"/>
      <c r="V22" s="168">
        <f ca="1">IF(C22="",NA(),MATCH($B22&amp;$C22,'Smelter Look-up'!$J:$J,0))</f>
        <v>443</v>
      </c>
      <c r="X22" s="169">
        <f t="shared" ca="1" si="6"/>
        <v>0</v>
      </c>
      <c r="AB22" s="312" t="str">
        <f t="shared" ca="1" si="7"/>
        <v>Nickel</v>
      </c>
      <c r="AC22" s="169" t="str">
        <f t="shared" ca="1" si="3"/>
        <v>Nickel</v>
      </c>
      <c r="AD22" s="169" t="str">
        <f t="shared" ca="1" si="4"/>
        <v>Guizhou Red Star Electronic Material Co., Ltd.</v>
      </c>
    </row>
    <row r="23" spans="1:30" s="169" customFormat="1" ht="114.75">
      <c r="A23" s="196" t="s">
        <v>18934</v>
      </c>
      <c r="B23" s="302" t="str">
        <f ca="1">IF(LEN(A23)=0,"",INDEX('Smelter Look-up'!$A:$A,MATCH($A23,'Smelter Look-up'!$E:$E,0)))</f>
        <v>Nickel</v>
      </c>
      <c r="C23" s="151" t="str">
        <f ca="1">IF(LEN(A23)=0,"",INDEX('Smelter Look-up'!$C:$C,MATCH($A23,'Smelter Look-up'!$E:$E,0)))</f>
        <v>Jiangmen Chancsun Umicore Industry Co.,Ltd</v>
      </c>
      <c r="D23" s="148"/>
      <c r="E23" s="148" t="str">
        <f ca="1">IF(ISERROR($V23),"",OFFSET('Smelter Look-up'!$D$4,$V23-4,0)&amp;"")</f>
        <v>CHINA</v>
      </c>
      <c r="F23" s="148" t="str">
        <f ca="1">IF(ISERROR($V23),"",OFFSET('Smelter Look-up'!$E$4,$V23-4,0))</f>
        <v>CID004708</v>
      </c>
      <c r="G23" s="148" t="str">
        <f ca="1">IF(C23=$X$4,"Enter smelter details",IF(ISERROR($V23),"",OFFSET('Smelter Look-up'!$F$4,$V23-4,0)))</f>
        <v>RMI</v>
      </c>
      <c r="H23" s="204">
        <f ca="1">IF(ISERROR($V23),"",OFFSET('Smelter Look-up'!$G$4,$V23-4,0))</f>
        <v>0</v>
      </c>
      <c r="I23" s="205" t="str">
        <f ca="1">IF(ISERROR($V23),"",OFFSET('Smelter Look-up'!$H$4,$V23-4,0))</f>
        <v>Jiangmen</v>
      </c>
      <c r="J23" s="205" t="str">
        <f ca="1">IF(ISERROR($V23),"",OFFSET('Smelter Look-up'!$I$4,$V23-4,0))</f>
        <v>Guangdong Sheng</v>
      </c>
      <c r="K23" s="149"/>
      <c r="L23" s="149"/>
      <c r="M23" s="149"/>
      <c r="N23" s="149"/>
      <c r="O23" s="149"/>
      <c r="P23" s="207"/>
      <c r="Q23" s="150"/>
      <c r="R23" s="148" t="str">
        <f ca="1">IF(ISERROR($V23),"",OFFSET('Smelter Look-up'!$C$4,$V23-4,0)&amp;"")</f>
        <v>Jiangmen Chancsun Umicore Industry Co.,Ltd</v>
      </c>
      <c r="S23" s="154" t="str">
        <f t="shared" ca="1" si="5"/>
        <v>CN</v>
      </c>
      <c r="T23" s="154" t="str">
        <f ca="1">IF(B23="","",IF(ISERROR(MATCH($J23,SorP!$B$1:$B$6226,0)),"",INDIRECT("'SorP'!$A$"&amp;MATCH($S23&amp;$J23,SorP!C:C,0))))</f>
        <v>CN-GD</v>
      </c>
      <c r="U23" s="167"/>
      <c r="V23" s="168">
        <f ca="1">IF(C23="",NA(),MATCH($B23&amp;$C23,'Smelter Look-up'!$J:$J,0))</f>
        <v>456</v>
      </c>
      <c r="X23" s="169">
        <f t="shared" ca="1" si="6"/>
        <v>0</v>
      </c>
      <c r="AB23" s="312" t="str">
        <f t="shared" ca="1" si="7"/>
        <v>Nickel</v>
      </c>
      <c r="AC23" s="169" t="str">
        <f t="shared" ca="1" si="3"/>
        <v>Nickel</v>
      </c>
      <c r="AD23" s="169" t="str">
        <f t="shared" ca="1" si="4"/>
        <v>Jiangmen Chancsun Umicore Industry Co.,Ltd</v>
      </c>
    </row>
    <row r="24" spans="1:30" s="169" customFormat="1" ht="102">
      <c r="A24" s="154" t="s">
        <v>18866</v>
      </c>
      <c r="B24" s="302" t="str">
        <f ca="1">IF(LEN(A24)=0,"",INDEX('Smelter Look-up'!$A:$A,MATCH($A24,'Smelter Look-up'!$E:$E,0)))</f>
        <v>Lithium</v>
      </c>
      <c r="C24" s="151" t="str">
        <f ca="1">IF(LEN(A24)=0,"",INDEX('Smelter Look-up'!$C:$C,MATCH($A24,'Smelter Look-up'!$E:$E,0)))</f>
        <v>Jiangxi Nanshi Lithium Power New Materials Co., Ltd.</v>
      </c>
      <c r="D24" s="148"/>
      <c r="E24" s="148" t="str">
        <f ca="1">IF(ISERROR($V24),"",OFFSET('Smelter Look-up'!$D$4,$V24-4,0)&amp;"")</f>
        <v>CHINA</v>
      </c>
      <c r="F24" s="148" t="str">
        <f ca="1">IF(ISERROR($V24),"",OFFSET('Smelter Look-up'!$E$4,$V24-4,0))</f>
        <v>CID004014</v>
      </c>
      <c r="G24" s="148" t="str">
        <f ca="1">IF(C24=$X$4,"Enter smelter details",IF(ISERROR($V24),"",OFFSET('Smelter Look-up'!$F$4,$V24-4,0)))</f>
        <v>RMI</v>
      </c>
      <c r="H24" s="204">
        <f ca="1">IF(ISERROR($V24),"",OFFSET('Smelter Look-up'!$G$4,$V24-4,0))</f>
        <v>0</v>
      </c>
      <c r="I24" s="205" t="str">
        <f ca="1">IF(ISERROR($V24),"",OFFSET('Smelter Look-up'!$H$4,$V24-4,0))</f>
        <v>Yichun City</v>
      </c>
      <c r="J24" s="205" t="str">
        <f ca="1">IF(ISERROR($V24),"",OFFSET('Smelter Look-up'!$I$4,$V24-4,0))</f>
        <v>Jiangxi Sheng</v>
      </c>
      <c r="K24" s="149"/>
      <c r="L24" s="149"/>
      <c r="M24" s="149"/>
      <c r="N24" s="149"/>
      <c r="O24" s="149"/>
      <c r="P24" s="207"/>
      <c r="Q24" s="150"/>
      <c r="R24" s="148" t="str">
        <f ca="1">IF(ISERROR($V24),"",OFFSET('Smelter Look-up'!$C$4,$V24-4,0)&amp;"")</f>
        <v>Jiangxi Nanshi Lithium Power New Materials Co., Ltd.</v>
      </c>
      <c r="S24" s="154" t="str">
        <f t="shared" ca="1" si="5"/>
        <v>CN</v>
      </c>
      <c r="T24" s="154" t="str">
        <f ca="1">IF(B24="","",IF(ISERROR(MATCH($J24,SorP!$B$1:$B$6226,0)),"",INDIRECT("'SorP'!$A$"&amp;MATCH($S24&amp;$J24,SorP!C:C,0))))</f>
        <v>CN-JX</v>
      </c>
      <c r="U24" s="167"/>
      <c r="V24" s="168">
        <f ca="1">IF(C24="",NA(),MATCH($B24&amp;$C24,'Smelter Look-up'!$J:$J,0))</f>
        <v>345</v>
      </c>
      <c r="X24" s="169">
        <f t="shared" ca="1" si="6"/>
        <v>0</v>
      </c>
      <c r="AB24" s="312" t="str">
        <f t="shared" ca="1" si="7"/>
        <v>Lithium</v>
      </c>
      <c r="AC24" s="169" t="str">
        <f t="shared" ca="1" si="3"/>
        <v>Lithium</v>
      </c>
      <c r="AD24" s="169" t="str">
        <f t="shared" ca="1" si="4"/>
        <v>Jiangxi Nanshi Lithium Power New Materials Co., Ltd.</v>
      </c>
    </row>
    <row r="25" spans="1:30" s="169" customFormat="1" ht="89.25">
      <c r="A25" s="154" t="s">
        <v>18846</v>
      </c>
      <c r="B25" s="302" t="str">
        <f ca="1">IF(LEN(A25)=0,"",INDEX('Smelter Look-up'!$A:$A,MATCH($A25,'Smelter Look-up'!$E:$E,0)))</f>
        <v>Lithium</v>
      </c>
      <c r="C25" s="151" t="str">
        <f ca="1">IF(LEN(A25)=0,"",INDEX('Smelter Look-up'!$C:$C,MATCH($A25,'Smelter Look-up'!$E:$E,0)))</f>
        <v>Ganzhou Miracle Lithium Industrial Co., Ltd.</v>
      </c>
      <c r="D25" s="148"/>
      <c r="E25" s="148" t="str">
        <f ca="1">IF(ISERROR($V25),"",OFFSET('Smelter Look-up'!$D$4,$V25-4,0)&amp;"")</f>
        <v>CHINA</v>
      </c>
      <c r="F25" s="148" t="str">
        <f ca="1">IF(ISERROR($V25),"",OFFSET('Smelter Look-up'!$E$4,$V25-4,0))</f>
        <v>CID004022</v>
      </c>
      <c r="G25" s="148" t="str">
        <f ca="1">IF(C25=$X$4,"Enter smelter details",IF(ISERROR($V25),"",OFFSET('Smelter Look-up'!$F$4,$V25-4,0)))</f>
        <v>RMI</v>
      </c>
      <c r="H25" s="204">
        <f ca="1">IF(ISERROR($V25),"",OFFSET('Smelter Look-up'!$G$4,$V25-4,0))</f>
        <v>0</v>
      </c>
      <c r="I25" s="205" t="str">
        <f ca="1">IF(ISERROR($V25),"",OFFSET('Smelter Look-up'!$H$4,$V25-4,0))</f>
        <v>Ganzhou</v>
      </c>
      <c r="J25" s="205" t="str">
        <f ca="1">IF(ISERROR($V25),"",OFFSET('Smelter Look-up'!$I$4,$V25-4,0))</f>
        <v>Jiangxi Sheng</v>
      </c>
      <c r="K25" s="149"/>
      <c r="L25" s="149"/>
      <c r="M25" s="149"/>
      <c r="N25" s="149"/>
      <c r="O25" s="149"/>
      <c r="P25" s="207"/>
      <c r="Q25" s="150"/>
      <c r="R25" s="148" t="str">
        <f ca="1">IF(ISERROR($V25),"",OFFSET('Smelter Look-up'!$C$4,$V25-4,0)&amp;"")</f>
        <v>Ganzhou Miracle Lithium Industrial Co., Ltd.</v>
      </c>
      <c r="S25" s="154" t="str">
        <f t="shared" ca="1" si="5"/>
        <v>CN</v>
      </c>
      <c r="T25" s="154" t="str">
        <f ca="1">IF(B25="","",IF(ISERROR(MATCH($J25,SorP!$B$1:$B$6226,0)),"",INDIRECT("'SorP'!$A$"&amp;MATCH($S25&amp;$J25,SorP!C:C,0))))</f>
        <v>CN-JX</v>
      </c>
      <c r="U25" s="167"/>
      <c r="V25" s="168">
        <f ca="1">IF(C25="",NA(),MATCH($B25&amp;$C25,'Smelter Look-up'!$J:$J,0))</f>
        <v>332</v>
      </c>
      <c r="X25" s="169">
        <f t="shared" ca="1" si="6"/>
        <v>0</v>
      </c>
      <c r="AB25" s="312" t="str">
        <f t="shared" ca="1" si="7"/>
        <v>Lithium</v>
      </c>
      <c r="AC25" s="169" t="str">
        <f t="shared" ca="1" si="3"/>
        <v>Lithium</v>
      </c>
      <c r="AD25" s="169" t="str">
        <f t="shared" ca="1" si="4"/>
        <v>Ganzhou Miracle Lithium Industrial Co., Ltd.</v>
      </c>
    </row>
    <row r="26" spans="1:30" s="169" customFormat="1" ht="51">
      <c r="A26" s="154" t="s">
        <v>18838</v>
      </c>
      <c r="B26" s="302" t="str">
        <f ca="1">IF(LEN(A26)=0,"",INDEX('Smelter Look-up'!$A:$A,MATCH($A26,'Smelter Look-up'!$E:$E,0)))</f>
        <v>Lithium</v>
      </c>
      <c r="C26" s="151" t="str">
        <f ca="1">IF(LEN(A26)=0,"",INDEX('Smelter Look-up'!$C:$C,MATCH($A26,'Smelter Look-up'!$E:$E,0)))</f>
        <v>Attero Recycling Pvt Ltd</v>
      </c>
      <c r="D26" s="148"/>
      <c r="E26" s="148" t="str">
        <f ca="1">IF(ISERROR($V26),"",OFFSET('Smelter Look-up'!$D$4,$V26-4,0)&amp;"")</f>
        <v>INDIA</v>
      </c>
      <c r="F26" s="148" t="str">
        <f ca="1">IF(ISERROR($V26),"",OFFSET('Smelter Look-up'!$E$4,$V26-4,0))</f>
        <v>CID004696</v>
      </c>
      <c r="G26" s="148" t="str">
        <f ca="1">IF(C26=$X$4,"Enter smelter details",IF(ISERROR($V26),"",OFFSET('Smelter Look-up'!$F$4,$V26-4,0)))</f>
        <v>RMI</v>
      </c>
      <c r="H26" s="204">
        <f ca="1">IF(ISERROR($V26),"",OFFSET('Smelter Look-up'!$G$4,$V26-4,0))</f>
        <v>0</v>
      </c>
      <c r="I26" s="205" t="str">
        <f ca="1">IF(ISERROR($V26),"",OFFSET('Smelter Look-up'!$H$4,$V26-4,0))</f>
        <v>Roorkee</v>
      </c>
      <c r="J26" s="205" t="str">
        <f ca="1">IF(ISERROR($V26),"",OFFSET('Smelter Look-up'!$I$4,$V26-4,0))</f>
        <v>Uttarākhand</v>
      </c>
      <c r="K26" s="149"/>
      <c r="L26" s="149"/>
      <c r="M26" s="149"/>
      <c r="N26" s="149"/>
      <c r="O26" s="149"/>
      <c r="P26" s="207"/>
      <c r="Q26" s="150"/>
      <c r="R26" s="148" t="str">
        <f ca="1">IF(ISERROR($V26),"",OFFSET('Smelter Look-up'!$C$4,$V26-4,0)&amp;"")</f>
        <v>Attero Recycling Pvt Ltd</v>
      </c>
      <c r="S26" s="154" t="str">
        <f t="shared" ca="1" si="5"/>
        <v>IN</v>
      </c>
      <c r="T26" s="154" t="str">
        <f ca="1">IF(B26="","",IF(ISERROR(MATCH($J26,SorP!$B$1:$B$6226,0)),"",INDIRECT("'SorP'!$A$"&amp;MATCH($S26&amp;$J26,SorP!C:C,0))))</f>
        <v>IN-UK</v>
      </c>
      <c r="U26" s="167"/>
      <c r="V26" s="168">
        <f ca="1">IF(C26="",NA(),MATCH($B26&amp;$C26,'Smelter Look-up'!$J:$J,0))</f>
        <v>326</v>
      </c>
      <c r="X26" s="169">
        <f t="shared" ca="1" si="6"/>
        <v>0</v>
      </c>
      <c r="AB26" s="312" t="str">
        <f t="shared" ca="1" si="7"/>
        <v>Lithium</v>
      </c>
      <c r="AC26" s="169" t="str">
        <f t="shared" ca="1" si="3"/>
        <v>Lithium</v>
      </c>
      <c r="AD26" s="169" t="str">
        <f t="shared" ca="1" si="4"/>
        <v>Attero Recycling Pvt Ltd</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LabJack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15" customHeight="1">
      <c r="A6" s="79" t="str">
        <f ca="1">Declaration!B10</f>
        <v>Description of Scope:</v>
      </c>
      <c r="B6" s="78" t="str">
        <f>Declaration!D10</f>
        <v>All products produced by LabJack</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2.1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15" customHeight="1">
      <c r="A8" s="79">
        <f>Declaration!B14</f>
        <v>0</v>
      </c>
      <c r="B8" s="78"/>
      <c r="C8" s="78"/>
      <c r="D8" s="84"/>
      <c r="E8" s="16"/>
      <c r="F8" s="82"/>
      <c r="G8" s="61"/>
      <c r="H8" s="62"/>
      <c r="I8" s="130"/>
    </row>
    <row r="9" spans="1:10" ht="39">
      <c r="A9" s="134" t="str">
        <f ca="1">Declaration!B19</f>
        <v>Contact Name (*):</v>
      </c>
      <c r="B9" s="354" t="str">
        <f>Declaration!D19</f>
        <v>Toby Stensland</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support@labjack.com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303-942-0228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Toby Stensland</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support@labjack.com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15" customHeight="1">
      <c r="A14" s="79"/>
      <c r="B14" s="78"/>
      <c r="C14" s="78"/>
      <c r="D14" s="84"/>
      <c r="E14" s="16" t="s">
        <v>15</v>
      </c>
      <c r="F14" s="82"/>
      <c r="G14" s="61"/>
      <c r="H14" s="62">
        <f>F14*G14</f>
        <v>0</v>
      </c>
      <c r="I14" s="130"/>
    </row>
    <row r="15" spans="1:10" ht="39">
      <c r="A15" s="79" t="str">
        <f ca="1">Declaration!B26</f>
        <v>Effective Date (*):</v>
      </c>
      <c r="B15" s="80">
        <f>Declaration!D26</f>
        <v>46009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1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1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1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15" customHeight="1">
      <c r="A19" s="79" t="str">
        <f>Declaration!B32</f>
        <v>Lithium(*)</v>
      </c>
      <c r="B19" s="78" t="str">
        <f>Declaration!D32</f>
        <v>Yes</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15" customHeight="1">
      <c r="A20" s="79" t="str">
        <f>Declaration!B33</f>
        <v>Mica(*)</v>
      </c>
      <c r="B20" s="78" t="str">
        <f>Declaration!D33</f>
        <v>Yes</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15" customHeight="1">
      <c r="A21" s="79" t="str">
        <f>Declaration!B34</f>
        <v>Nickel(*)</v>
      </c>
      <c r="B21" s="78" t="str">
        <f>Declaration!D34</f>
        <v>Yes</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1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15" hidden="1" customHeight="1">
      <c r="A23" s="79" t="str">
        <f>Declaration!B36</f>
        <v/>
      </c>
      <c r="B23" s="78">
        <f>Declaration!D36</f>
        <v>0</v>
      </c>
      <c r="C23" s="78">
        <f t="shared" si="3"/>
        <v>0</v>
      </c>
      <c r="D23" s="84"/>
      <c r="E23" s="16"/>
      <c r="F23" s="321"/>
      <c r="G23" s="61"/>
      <c r="H23" s="62"/>
      <c r="I23" s="130"/>
      <c r="J23" s="131"/>
    </row>
    <row r="24" spans="1:10" ht="22.15" hidden="1" customHeight="1">
      <c r="A24" s="79" t="str">
        <f>Declaration!B37</f>
        <v/>
      </c>
      <c r="B24" s="78">
        <f>Declaration!D37</f>
        <v>0</v>
      </c>
      <c r="C24" s="78">
        <f t="shared" si="3"/>
        <v>0</v>
      </c>
      <c r="D24" s="84"/>
      <c r="E24" s="16"/>
      <c r="F24" s="321"/>
      <c r="G24" s="61"/>
      <c r="H24" s="62"/>
      <c r="I24" s="130"/>
      <c r="J24" s="131"/>
    </row>
    <row r="25" spans="1:10" ht="22.15" hidden="1" customHeight="1">
      <c r="A25" s="79" t="str">
        <f>Declaration!B38</f>
        <v/>
      </c>
      <c r="B25" s="78">
        <f>Declaration!D38</f>
        <v>0</v>
      </c>
      <c r="C25" s="78">
        <f t="shared" si="3"/>
        <v>0</v>
      </c>
      <c r="D25" s="84"/>
      <c r="E25" s="16"/>
      <c r="F25" s="321"/>
      <c r="G25" s="61"/>
      <c r="H25" s="62"/>
      <c r="I25" s="130"/>
      <c r="J25" s="131"/>
    </row>
    <row r="26" spans="1:10" ht="22.15" hidden="1" customHeight="1">
      <c r="A26" s="79" t="str">
        <f>Declaration!B39</f>
        <v/>
      </c>
      <c r="B26" s="78">
        <f>Declaration!D39</f>
        <v>0</v>
      </c>
      <c r="C26" s="78">
        <f t="shared" si="3"/>
        <v>0</v>
      </c>
      <c r="D26" s="84"/>
      <c r="E26" s="16"/>
      <c r="F26" s="321"/>
      <c r="G26" s="61"/>
      <c r="H26" s="62"/>
      <c r="I26" s="130"/>
      <c r="J26" s="131"/>
    </row>
    <row r="27" spans="1:10" ht="25.1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Lithium(*)</v>
      </c>
      <c r="B30" s="78" t="str">
        <f>Declaration!D44</f>
        <v>Yes</v>
      </c>
      <c r="C30" s="135" t="str">
        <f t="shared" ca="1" si="9"/>
        <v>Complete</v>
      </c>
      <c r="D30" s="314" t="str">
        <f t="shared" si="10"/>
        <v/>
      </c>
      <c r="E30" s="16"/>
      <c r="F30" s="83">
        <f t="shared" si="11"/>
        <v>1</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Mica(*)</v>
      </c>
      <c r="B31" s="78" t="str">
        <f>Declaration!D45</f>
        <v>Yes</v>
      </c>
      <c r="C31" s="135" t="str">
        <f t="shared" ca="1" si="9"/>
        <v>Complete</v>
      </c>
      <c r="D31" s="314" t="str">
        <f t="shared" si="10"/>
        <v/>
      </c>
      <c r="E31" s="16"/>
      <c r="F31" s="83">
        <f t="shared" si="11"/>
        <v>1</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Nickel(*)</v>
      </c>
      <c r="B32" s="78" t="str">
        <f>Declaration!D46</f>
        <v>Yes</v>
      </c>
      <c r="C32" s="135" t="str">
        <f t="shared" ca="1" si="9"/>
        <v>Complete</v>
      </c>
      <c r="D32" s="314" t="str">
        <f t="shared" si="10"/>
        <v/>
      </c>
      <c r="E32" s="16"/>
      <c r="F32" s="83">
        <f t="shared" si="11"/>
        <v>1</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15" hidden="1" customHeight="1">
      <c r="A34" s="79" t="str">
        <f>Declaration!B48</f>
        <v/>
      </c>
      <c r="B34" s="78">
        <f>Declaration!D48</f>
        <v>0</v>
      </c>
      <c r="C34" s="135">
        <f t="shared" si="9"/>
        <v>0</v>
      </c>
      <c r="D34" s="227"/>
      <c r="E34" s="16"/>
      <c r="F34" s="83"/>
      <c r="G34" s="61"/>
      <c r="H34" s="62"/>
      <c r="I34" s="130"/>
    </row>
    <row r="35" spans="1:10" ht="22.15" hidden="1" customHeight="1">
      <c r="A35" s="79" t="str">
        <f>Declaration!B49</f>
        <v/>
      </c>
      <c r="B35" s="78">
        <f>Declaration!D49</f>
        <v>0</v>
      </c>
      <c r="C35" s="135">
        <f t="shared" si="9"/>
        <v>0</v>
      </c>
      <c r="D35" s="227"/>
      <c r="E35" s="16"/>
      <c r="F35" s="83"/>
      <c r="G35" s="61"/>
      <c r="H35" s="62"/>
      <c r="I35" s="130"/>
    </row>
    <row r="36" spans="1:10" ht="22.15" hidden="1" customHeight="1">
      <c r="A36" s="79" t="str">
        <f>Declaration!B50</f>
        <v/>
      </c>
      <c r="B36" s="78">
        <f>Declaration!D50</f>
        <v>0</v>
      </c>
      <c r="C36" s="135">
        <f t="shared" si="9"/>
        <v>0</v>
      </c>
      <c r="D36" s="227"/>
      <c r="E36" s="16"/>
      <c r="F36" s="83"/>
      <c r="G36" s="61"/>
      <c r="H36" s="62"/>
      <c r="I36" s="130"/>
    </row>
    <row r="37" spans="1:10" ht="22.15" hidden="1" customHeight="1">
      <c r="A37" s="79" t="str">
        <f>Declaration!B51</f>
        <v/>
      </c>
      <c r="B37" s="78">
        <f>Declaration!D51</f>
        <v>0</v>
      </c>
      <c r="C37" s="135">
        <f t="shared" si="9"/>
        <v>0</v>
      </c>
      <c r="D37" s="227"/>
      <c r="E37" s="16"/>
      <c r="F37" s="83"/>
      <c r="G37" s="61"/>
      <c r="H37" s="62"/>
      <c r="I37" s="130"/>
    </row>
    <row r="38" spans="1:10" ht="25.1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Lithium(*)</v>
      </c>
      <c r="B41" s="78" t="str">
        <f>Declaration!D56</f>
        <v>No</v>
      </c>
      <c r="C41" s="135" t="str">
        <f t="shared" ca="1" si="3"/>
        <v>Complete</v>
      </c>
      <c r="D41" s="316" t="str">
        <f t="shared" si="16"/>
        <v/>
      </c>
      <c r="E41" s="16"/>
      <c r="F41" s="83">
        <f t="shared" si="17"/>
        <v>1</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Mica(*)</v>
      </c>
      <c r="B42" s="78" t="str">
        <f>Declaration!D57</f>
        <v>No</v>
      </c>
      <c r="C42" s="135" t="str">
        <f t="shared" ca="1" si="3"/>
        <v>Complete</v>
      </c>
      <c r="D42" s="316" t="str">
        <f t="shared" si="16"/>
        <v/>
      </c>
      <c r="E42" s="16"/>
      <c r="F42" s="83">
        <f t="shared" si="17"/>
        <v>1</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Nickel(*)</v>
      </c>
      <c r="B43" s="78" t="str">
        <f>Declaration!D58</f>
        <v>No</v>
      </c>
      <c r="C43" s="135" t="str">
        <f t="shared" ca="1" si="3"/>
        <v>Complete</v>
      </c>
      <c r="D43" s="316" t="str">
        <f t="shared" si="16"/>
        <v/>
      </c>
      <c r="E43" s="16"/>
      <c r="F43" s="83">
        <f t="shared" si="17"/>
        <v>1</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15" hidden="1" customHeight="1">
      <c r="A45" s="79" t="str">
        <f>Declaration!B60</f>
        <v/>
      </c>
      <c r="B45" s="78">
        <f>Declaration!D60</f>
        <v>0</v>
      </c>
      <c r="C45" s="135">
        <f t="shared" si="3"/>
        <v>0</v>
      </c>
      <c r="D45" s="227"/>
      <c r="E45" s="16"/>
      <c r="F45" s="83"/>
      <c r="G45" s="61"/>
      <c r="H45" s="62"/>
      <c r="I45" s="130"/>
    </row>
    <row r="46" spans="1:10" ht="22.15" hidden="1" customHeight="1">
      <c r="A46" s="79" t="str">
        <f>Declaration!B61</f>
        <v/>
      </c>
      <c r="B46" s="78">
        <f>Declaration!D61</f>
        <v>0</v>
      </c>
      <c r="C46" s="135">
        <f t="shared" si="3"/>
        <v>0</v>
      </c>
      <c r="D46" s="227"/>
      <c r="E46" s="16"/>
      <c r="F46" s="83"/>
      <c r="G46" s="61"/>
      <c r="H46" s="62"/>
      <c r="I46" s="130"/>
    </row>
    <row r="47" spans="1:10" ht="22.15" hidden="1" customHeight="1">
      <c r="A47" s="79" t="str">
        <f>Declaration!B62</f>
        <v/>
      </c>
      <c r="B47" s="78">
        <f>Declaration!D62</f>
        <v>0</v>
      </c>
      <c r="C47" s="135">
        <f t="shared" si="3"/>
        <v>0</v>
      </c>
      <c r="D47" s="227"/>
      <c r="E47" s="16"/>
      <c r="F47" s="83"/>
      <c r="G47" s="61"/>
      <c r="H47" s="62"/>
      <c r="I47" s="130"/>
    </row>
    <row r="48" spans="1:10" ht="22.15" hidden="1" customHeight="1">
      <c r="A48" s="79" t="str">
        <f>Declaration!B63</f>
        <v/>
      </c>
      <c r="B48" s="78">
        <f>Declaration!D63</f>
        <v>0</v>
      </c>
      <c r="C48" s="135">
        <f t="shared" si="3"/>
        <v>0</v>
      </c>
      <c r="D48" s="86"/>
      <c r="E48" s="16" t="s">
        <v>15</v>
      </c>
      <c r="F48" s="83"/>
      <c r="G48" s="61"/>
      <c r="H48" s="62"/>
      <c r="I48" s="130"/>
    </row>
    <row r="49" spans="1:10" ht="25.1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Lithium(*)</v>
      </c>
      <c r="B52" s="78" t="str">
        <f>Declaration!D68</f>
        <v>No</v>
      </c>
      <c r="C52" s="135" t="str">
        <f t="shared" ca="1" si="20"/>
        <v>Complete</v>
      </c>
      <c r="D52" s="316" t="str">
        <f t="shared" si="21"/>
        <v/>
      </c>
      <c r="E52" s="16"/>
      <c r="F52" s="83">
        <f t="shared" si="22"/>
        <v>1</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Mica(*)</v>
      </c>
      <c r="B53" s="78" t="str">
        <f>Declaration!D69</f>
        <v>No</v>
      </c>
      <c r="C53" s="135" t="str">
        <f t="shared" ca="1" si="20"/>
        <v>Complete</v>
      </c>
      <c r="D53" s="316" t="str">
        <f t="shared" si="21"/>
        <v/>
      </c>
      <c r="E53" s="16"/>
      <c r="F53" s="83">
        <f t="shared" si="22"/>
        <v>1</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Nickel(*)</v>
      </c>
      <c r="B54" s="78" t="str">
        <f>Declaration!D70</f>
        <v>No</v>
      </c>
      <c r="C54" s="135" t="str">
        <f t="shared" ca="1" si="20"/>
        <v>Complete</v>
      </c>
      <c r="D54" s="316" t="str">
        <f t="shared" si="21"/>
        <v/>
      </c>
      <c r="E54" s="16"/>
      <c r="F54" s="83">
        <f t="shared" si="22"/>
        <v>1</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15" hidden="1" customHeight="1">
      <c r="A56" s="79" t="str">
        <f>Declaration!B72</f>
        <v/>
      </c>
      <c r="B56" s="78">
        <f>Declaration!D72</f>
        <v>0</v>
      </c>
      <c r="C56" s="135">
        <f t="shared" si="20"/>
        <v>0</v>
      </c>
      <c r="D56" s="191"/>
      <c r="E56" s="16"/>
      <c r="F56" s="83"/>
      <c r="G56" s="61"/>
      <c r="H56" s="62"/>
      <c r="I56" s="130"/>
      <c r="J56" s="131"/>
    </row>
    <row r="57" spans="1:10" ht="22.15" hidden="1" customHeight="1">
      <c r="A57" s="79" t="str">
        <f>Declaration!B73</f>
        <v/>
      </c>
      <c r="B57" s="78">
        <f>Declaration!D73</f>
        <v>0</v>
      </c>
      <c r="C57" s="135">
        <f t="shared" si="20"/>
        <v>0</v>
      </c>
      <c r="D57" s="86"/>
      <c r="E57" s="16" t="s">
        <v>15</v>
      </c>
      <c r="F57" s="83"/>
      <c r="G57" s="61"/>
      <c r="H57" s="62"/>
      <c r="I57" s="130"/>
      <c r="J57" s="131"/>
    </row>
    <row r="58" spans="1:10" ht="22.15" hidden="1" customHeight="1">
      <c r="A58" s="79" t="str">
        <f>Declaration!B74</f>
        <v/>
      </c>
      <c r="B58" s="78">
        <f>Declaration!D74</f>
        <v>0</v>
      </c>
      <c r="C58" s="135">
        <f t="shared" si="20"/>
        <v>0</v>
      </c>
      <c r="D58" s="86"/>
      <c r="E58" s="16" t="s">
        <v>15</v>
      </c>
      <c r="F58" s="83"/>
      <c r="G58" s="61"/>
      <c r="H58" s="62"/>
      <c r="I58" s="130"/>
      <c r="J58" s="131"/>
    </row>
    <row r="59" spans="1:10" ht="22.15" hidden="1" customHeight="1">
      <c r="A59" s="79" t="str">
        <f>Declaration!B75</f>
        <v/>
      </c>
      <c r="B59" s="78">
        <f>Declaration!D75</f>
        <v>0</v>
      </c>
      <c r="C59" s="135">
        <f t="shared" si="20"/>
        <v>0</v>
      </c>
      <c r="D59" s="86"/>
      <c r="E59" s="16" t="s">
        <v>15</v>
      </c>
      <c r="F59" s="83"/>
      <c r="G59" s="61"/>
      <c r="H59" s="62"/>
      <c r="I59" s="130"/>
      <c r="J59" s="131"/>
    </row>
    <row r="60" spans="1:10" ht="25.1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75%</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75%</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Lithium(*)</v>
      </c>
      <c r="B63" s="78" t="str">
        <f>Declaration!D80</f>
        <v>Greater than 75%</v>
      </c>
      <c r="C63" s="135" t="str">
        <f t="shared" ca="1" si="3"/>
        <v>Complete</v>
      </c>
      <c r="D63" s="317" t="str">
        <f t="shared" si="25"/>
        <v/>
      </c>
      <c r="E63" s="16"/>
      <c r="F63" s="83">
        <f t="shared" si="26"/>
        <v>1</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Mica(*)</v>
      </c>
      <c r="B64" s="78" t="str">
        <f>Declaration!D81</f>
        <v>Greater than 75%</v>
      </c>
      <c r="C64" s="135" t="str">
        <f t="shared" ca="1" si="3"/>
        <v>Complete</v>
      </c>
      <c r="D64" s="317" t="str">
        <f t="shared" si="25"/>
        <v/>
      </c>
      <c r="E64" s="16"/>
      <c r="F64" s="83">
        <f t="shared" si="26"/>
        <v>1</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Nickel(*)</v>
      </c>
      <c r="B65" s="78" t="str">
        <f>Declaration!D82</f>
        <v>Greater than 75%</v>
      </c>
      <c r="C65" s="135" t="str">
        <f t="shared" ca="1" si="3"/>
        <v>Complete</v>
      </c>
      <c r="D65" s="317" t="str">
        <f t="shared" si="25"/>
        <v/>
      </c>
      <c r="E65" s="16"/>
      <c r="F65" s="83">
        <f t="shared" si="26"/>
        <v>1</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15" hidden="1" customHeight="1">
      <c r="A67" s="79" t="str">
        <f>Declaration!B84</f>
        <v/>
      </c>
      <c r="B67" s="78">
        <f>Declaration!D84</f>
        <v>0</v>
      </c>
      <c r="C67" s="135">
        <f t="shared" si="3"/>
        <v>0</v>
      </c>
      <c r="D67" s="84"/>
      <c r="E67" s="16"/>
      <c r="F67" s="83"/>
      <c r="G67" s="61"/>
      <c r="H67" s="62"/>
      <c r="I67" s="130"/>
    </row>
    <row r="68" spans="1:10" ht="22.15" hidden="1" customHeight="1">
      <c r="A68" s="79" t="str">
        <f>Declaration!B85</f>
        <v/>
      </c>
      <c r="B68" s="78">
        <f>Declaration!D85</f>
        <v>0</v>
      </c>
      <c r="C68" s="135">
        <f t="shared" si="3"/>
        <v>0</v>
      </c>
      <c r="D68" s="84"/>
      <c r="E68" s="16"/>
      <c r="F68" s="83"/>
      <c r="G68" s="61"/>
      <c r="H68" s="62"/>
      <c r="I68" s="130"/>
    </row>
    <row r="69" spans="1:10" ht="22.15" hidden="1" customHeight="1">
      <c r="A69" s="79" t="str">
        <f>Declaration!B86</f>
        <v/>
      </c>
      <c r="B69" s="78">
        <f>Declaration!D86</f>
        <v>0</v>
      </c>
      <c r="C69" s="135">
        <f t="shared" si="3"/>
        <v>0</v>
      </c>
      <c r="D69" s="84"/>
      <c r="E69" s="16" t="s">
        <v>18</v>
      </c>
      <c r="F69" s="83"/>
      <c r="G69" s="61"/>
      <c r="H69" s="62"/>
      <c r="I69" s="130"/>
    </row>
    <row r="70" spans="1:10" ht="22.15" hidden="1" customHeight="1">
      <c r="A70" s="79" t="str">
        <f>Declaration!B87</f>
        <v/>
      </c>
      <c r="B70" s="78">
        <f>Declaration!D87</f>
        <v>0</v>
      </c>
      <c r="C70" s="135">
        <f t="shared" si="3"/>
        <v>0</v>
      </c>
      <c r="D70" s="84"/>
      <c r="E70" s="16" t="s">
        <v>18</v>
      </c>
      <c r="F70" s="83"/>
      <c r="G70" s="61"/>
      <c r="H70" s="62"/>
      <c r="I70" s="130"/>
    </row>
    <row r="71" spans="1:10" ht="25.1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Lithium(*)</v>
      </c>
      <c r="B74" s="78" t="str">
        <f>Declaration!D92</f>
        <v>No</v>
      </c>
      <c r="C74" s="135" t="str">
        <f t="shared" ca="1" si="31"/>
        <v>Complete</v>
      </c>
      <c r="D74" s="317" t="str">
        <f t="shared" si="32"/>
        <v/>
      </c>
      <c r="E74" s="16"/>
      <c r="F74" s="83">
        <f t="shared" si="33"/>
        <v>1</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Mica(*)</v>
      </c>
      <c r="B75" s="78" t="str">
        <f>Declaration!D93</f>
        <v>Yes</v>
      </c>
      <c r="C75" s="135" t="str">
        <f t="shared" ca="1" si="31"/>
        <v>Complete</v>
      </c>
      <c r="D75" s="317" t="str">
        <f t="shared" si="32"/>
        <v/>
      </c>
      <c r="E75" s="16"/>
      <c r="F75" s="83">
        <f t="shared" si="33"/>
        <v>1</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Nickel(*)</v>
      </c>
      <c r="B76" s="78" t="str">
        <f>Declaration!D94</f>
        <v>No</v>
      </c>
      <c r="C76" s="135" t="str">
        <f t="shared" ca="1" si="31"/>
        <v>Complete</v>
      </c>
      <c r="D76" s="317" t="str">
        <f t="shared" si="32"/>
        <v/>
      </c>
      <c r="E76" s="16"/>
      <c r="F76" s="83">
        <f t="shared" si="33"/>
        <v>1</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15" hidden="1" customHeight="1">
      <c r="A78" s="79" t="str">
        <f>Declaration!B96</f>
        <v/>
      </c>
      <c r="B78" s="78">
        <f>Declaration!D96</f>
        <v>0</v>
      </c>
      <c r="C78" s="135">
        <f t="shared" si="31"/>
        <v>0</v>
      </c>
      <c r="D78" s="86"/>
      <c r="E78" s="16"/>
      <c r="F78" s="83"/>
      <c r="G78" s="61"/>
      <c r="H78" s="62"/>
      <c r="I78" s="130"/>
    </row>
    <row r="79" spans="1:10" ht="22.15" hidden="1" customHeight="1">
      <c r="A79" s="79" t="str">
        <f>Declaration!B97</f>
        <v/>
      </c>
      <c r="B79" s="78">
        <f>Declaration!D97</f>
        <v>0</v>
      </c>
      <c r="C79" s="135">
        <f t="shared" si="31"/>
        <v>0</v>
      </c>
      <c r="D79" s="86"/>
      <c r="E79" s="16"/>
      <c r="F79" s="83"/>
      <c r="G79" s="61"/>
      <c r="H79" s="62"/>
      <c r="I79" s="130"/>
    </row>
    <row r="80" spans="1:10" ht="22.15" hidden="1" customHeight="1">
      <c r="A80" s="79" t="str">
        <f>Declaration!B98</f>
        <v/>
      </c>
      <c r="B80" s="78">
        <f>Declaration!D98</f>
        <v>0</v>
      </c>
      <c r="C80" s="135">
        <f t="shared" si="31"/>
        <v>0</v>
      </c>
      <c r="D80" s="86"/>
      <c r="E80" s="16" t="s">
        <v>13</v>
      </c>
      <c r="F80" s="83"/>
      <c r="G80" s="61"/>
      <c r="H80" s="62"/>
      <c r="I80" s="130"/>
    </row>
    <row r="81" spans="1:10" ht="22.15" hidden="1" customHeight="1">
      <c r="A81" s="79" t="str">
        <f>Declaration!B99</f>
        <v/>
      </c>
      <c r="B81" s="78">
        <f>Declaration!D99</f>
        <v>0</v>
      </c>
      <c r="C81" s="135">
        <f t="shared" si="31"/>
        <v>0</v>
      </c>
      <c r="D81" s="86"/>
      <c r="E81" s="16" t="s">
        <v>13</v>
      </c>
      <c r="F81" s="83"/>
      <c r="G81" s="61"/>
      <c r="H81" s="62"/>
      <c r="I81" s="130"/>
    </row>
    <row r="82" spans="1:10" ht="50.65" customHeight="1">
      <c r="A82" s="78" t="str">
        <f ca="1">Declaration!B101</f>
        <v>7) Has all applicable smelter or processor information received by your company been reported in this declaration?(*)</v>
      </c>
      <c r="B82" s="81"/>
      <c r="C82" s="81"/>
      <c r="D82" s="85"/>
      <c r="E82" s="16" t="s">
        <v>16</v>
      </c>
      <c r="F82" s="82"/>
    </row>
    <row r="83" spans="1:10" ht="41.6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6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65" customHeight="1">
      <c r="A85" s="79" t="str">
        <f>Declaration!B104</f>
        <v>Lithium(*)</v>
      </c>
      <c r="B85" s="78" t="str">
        <f>Declaration!D104</f>
        <v>Yes</v>
      </c>
      <c r="C85" s="135" t="str">
        <f t="shared" ca="1" si="36"/>
        <v>Complete</v>
      </c>
      <c r="D85" s="317" t="str">
        <f t="shared" si="39"/>
        <v/>
      </c>
      <c r="E85" s="16"/>
      <c r="F85" s="83">
        <f t="shared" si="40"/>
        <v>1</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65" customHeight="1">
      <c r="A86" s="79" t="str">
        <f>Declaration!B105</f>
        <v>Mica(*)</v>
      </c>
      <c r="B86" s="78" t="str">
        <f>Declaration!D105</f>
        <v>Yes</v>
      </c>
      <c r="C86" s="135" t="str">
        <f t="shared" ca="1" si="36"/>
        <v>Complete</v>
      </c>
      <c r="D86" s="317" t="str">
        <f t="shared" si="39"/>
        <v/>
      </c>
      <c r="E86" s="16"/>
      <c r="F86" s="83">
        <f t="shared" si="40"/>
        <v>1</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65" customHeight="1">
      <c r="A87" s="79" t="str">
        <f>Declaration!B106</f>
        <v>Nickel(*)</v>
      </c>
      <c r="B87" s="78" t="str">
        <f>Declaration!D106</f>
        <v>Yes</v>
      </c>
      <c r="C87" s="135" t="str">
        <f t="shared" ca="1" si="36"/>
        <v>Complete</v>
      </c>
      <c r="D87" s="317" t="str">
        <f t="shared" si="39"/>
        <v/>
      </c>
      <c r="E87" s="16"/>
      <c r="F87" s="83">
        <f t="shared" si="40"/>
        <v>1</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6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15" hidden="1" customHeight="1">
      <c r="A89" s="79" t="str">
        <f>Declaration!B108</f>
        <v/>
      </c>
      <c r="B89" s="78">
        <f>Declaration!D108</f>
        <v>0</v>
      </c>
      <c r="C89" s="135">
        <f t="shared" si="36"/>
        <v>0</v>
      </c>
      <c r="D89" s="87"/>
      <c r="E89" s="16"/>
      <c r="F89" s="83"/>
      <c r="G89" s="61"/>
      <c r="H89" s="62"/>
      <c r="I89" s="130"/>
    </row>
    <row r="90" spans="1:10" ht="22.15" hidden="1" customHeight="1">
      <c r="A90" s="79" t="str">
        <f>Declaration!B109</f>
        <v/>
      </c>
      <c r="B90" s="78">
        <f>Declaration!D109</f>
        <v>0</v>
      </c>
      <c r="C90" s="135">
        <f t="shared" si="36"/>
        <v>0</v>
      </c>
      <c r="D90" s="87"/>
      <c r="E90" s="16"/>
      <c r="F90" s="83"/>
      <c r="G90" s="61"/>
      <c r="H90" s="62"/>
      <c r="I90" s="130"/>
    </row>
    <row r="91" spans="1:10" ht="22.15" hidden="1" customHeight="1">
      <c r="A91" s="79" t="str">
        <f>Declaration!B110</f>
        <v/>
      </c>
      <c r="B91" s="78">
        <f>Declaration!D110</f>
        <v>0</v>
      </c>
      <c r="C91" s="135">
        <f t="shared" si="36"/>
        <v>0</v>
      </c>
      <c r="D91" s="87"/>
      <c r="E91" s="16" t="s">
        <v>15</v>
      </c>
      <c r="F91" s="83"/>
      <c r="G91" s="61"/>
      <c r="H91" s="62"/>
      <c r="I91" s="130"/>
    </row>
    <row r="92" spans="1:10" ht="22.15" hidden="1" customHeight="1">
      <c r="A92" s="79" t="str">
        <f>Declaration!B111</f>
        <v/>
      </c>
      <c r="B92" s="78">
        <f>Declaration!D111</f>
        <v>0</v>
      </c>
      <c r="C92" s="135">
        <f t="shared" si="36"/>
        <v>0</v>
      </c>
      <c r="D92" s="87"/>
      <c r="E92" s="16" t="s">
        <v>15</v>
      </c>
      <c r="F92" s="83"/>
      <c r="G92" s="61"/>
      <c r="H92" s="62"/>
      <c r="I92" s="130"/>
    </row>
    <row r="93" spans="1:10" ht="22.1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15" customHeight="1">
      <c r="A96" s="78" t="s">
        <v>53</v>
      </c>
      <c r="B96" s="78" t="str">
        <f>Declaration!G117</f>
        <v>https://labjack.com/blogs/faq/compliance</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Lithium(*)</v>
      </c>
      <c r="B100" s="78" t="str">
        <f>Declaration!D122</f>
        <v>Yes</v>
      </c>
      <c r="C100" s="135" t="str">
        <f t="shared" ca="1" si="44"/>
        <v>Complete</v>
      </c>
      <c r="D100" s="319" t="str">
        <f t="shared" ref="D100:D103" si="46">IF(H100=1,"Click here to answer question (C)","")</f>
        <v/>
      </c>
      <c r="E100" s="16"/>
      <c r="F100" s="83">
        <f t="shared" si="45"/>
        <v>1</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Mica(*)</v>
      </c>
      <c r="B101" s="78" t="str">
        <f>Declaration!D123</f>
        <v>Yes</v>
      </c>
      <c r="C101" s="135" t="str">
        <f t="shared" ca="1" si="44"/>
        <v>Complete</v>
      </c>
      <c r="D101" s="319" t="str">
        <f t="shared" si="46"/>
        <v/>
      </c>
      <c r="E101" s="16"/>
      <c r="F101" s="83">
        <f t="shared" si="45"/>
        <v>1</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Nickel(*)</v>
      </c>
      <c r="B102" s="78" t="str">
        <f>Declaration!D124</f>
        <v>Yes</v>
      </c>
      <c r="C102" s="135" t="str">
        <f t="shared" ca="1" si="44"/>
        <v>Complete</v>
      </c>
      <c r="D102" s="319" t="str">
        <f t="shared" si="46"/>
        <v/>
      </c>
      <c r="E102" s="16"/>
      <c r="F102" s="83">
        <f t="shared" si="45"/>
        <v>1</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15" hidden="1" customHeight="1">
      <c r="A104" s="78" t="str">
        <f>Declaration!B126</f>
        <v/>
      </c>
      <c r="B104" s="78">
        <f>Declaration!D126</f>
        <v>0</v>
      </c>
      <c r="C104" s="135">
        <f t="shared" si="44"/>
        <v>0</v>
      </c>
      <c r="D104" s="191"/>
      <c r="E104" s="16"/>
      <c r="F104" s="83"/>
      <c r="G104" s="61"/>
      <c r="H104" s="62"/>
      <c r="I104" s="130"/>
    </row>
    <row r="105" spans="1:10" ht="25.15" hidden="1" customHeight="1">
      <c r="A105" s="78" t="str">
        <f>Declaration!B127</f>
        <v/>
      </c>
      <c r="B105" s="78">
        <f>Declaration!D127</f>
        <v>0</v>
      </c>
      <c r="C105" s="135">
        <f t="shared" si="44"/>
        <v>0</v>
      </c>
      <c r="D105" s="191"/>
      <c r="E105" s="16"/>
      <c r="F105" s="83"/>
      <c r="G105" s="61"/>
      <c r="H105" s="62"/>
      <c r="I105" s="130"/>
    </row>
    <row r="106" spans="1:10" ht="25.15" hidden="1" customHeight="1">
      <c r="A106" s="78" t="str">
        <f>Declaration!B128</f>
        <v/>
      </c>
      <c r="B106" s="78">
        <f>Declaration!D128</f>
        <v>0</v>
      </c>
      <c r="C106" s="135">
        <f t="shared" si="44"/>
        <v>0</v>
      </c>
      <c r="D106" s="191"/>
      <c r="E106" s="16"/>
      <c r="F106" s="83"/>
      <c r="G106" s="61"/>
      <c r="H106" s="62"/>
      <c r="I106" s="130"/>
    </row>
    <row r="107" spans="1:10" ht="25.1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1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6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65" customHeight="1">
      <c r="A116" s="134" t="str">
        <f>Declaration!AA14</f>
        <v>Lithium</v>
      </c>
      <c r="B116" s="78"/>
      <c r="C116" s="135" t="str">
        <f t="shared" ca="1" si="49"/>
        <v>Complete</v>
      </c>
      <c r="D116" s="376" t="str">
        <f t="shared" ref="D116:D119" ca="1" si="51">IF(H116=0,"","Click here to provide smelter information")</f>
        <v/>
      </c>
      <c r="E116" s="16"/>
      <c r="F116" s="83">
        <f t="shared" ref="F116:F119" si="52">F41</f>
        <v>1</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65" customHeight="1">
      <c r="A117" s="134" t="str">
        <f>Declaration!AA15</f>
        <v>Mica</v>
      </c>
      <c r="B117" s="78"/>
      <c r="C117" s="135" t="str">
        <f t="shared" ca="1" si="49"/>
        <v>Complete</v>
      </c>
      <c r="D117" s="376" t="str">
        <f t="shared" ca="1" si="51"/>
        <v/>
      </c>
      <c r="E117" s="16"/>
      <c r="F117" s="83">
        <f t="shared" si="52"/>
        <v>1</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65" customHeight="1">
      <c r="A118" s="134" t="str">
        <f>Declaration!AA16</f>
        <v>Nickel</v>
      </c>
      <c r="B118" s="78"/>
      <c r="C118" s="135" t="str">
        <f t="shared" ca="1" si="49"/>
        <v>Complete</v>
      </c>
      <c r="D118" s="376" t="str">
        <f t="shared" ca="1" si="51"/>
        <v/>
      </c>
      <c r="E118" s="16"/>
      <c r="F118" s="83">
        <f t="shared" si="52"/>
        <v>1</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6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15" hidden="1" customHeight="1">
      <c r="A120" s="134" t="str">
        <f>Declaration!AA18</f>
        <v/>
      </c>
      <c r="B120" s="78"/>
      <c r="C120" s="135">
        <f t="shared" si="49"/>
        <v>0</v>
      </c>
      <c r="D120" s="218"/>
      <c r="E120" s="16"/>
      <c r="F120" s="83"/>
      <c r="G120" s="61"/>
      <c r="H120" s="62"/>
      <c r="I120" s="130"/>
      <c r="K120" s="133"/>
    </row>
    <row r="121" spans="1:12" ht="25.15" hidden="1" customHeight="1">
      <c r="A121" s="134" t="str">
        <f>Declaration!AA19</f>
        <v/>
      </c>
      <c r="B121" s="78"/>
      <c r="C121" s="135">
        <f t="shared" si="49"/>
        <v>0</v>
      </c>
      <c r="D121" s="218"/>
      <c r="E121" s="16"/>
      <c r="F121" s="83"/>
      <c r="G121" s="61"/>
      <c r="H121" s="62"/>
      <c r="I121" s="130"/>
      <c r="K121" s="133"/>
    </row>
    <row r="122" spans="1:12" ht="25.15" hidden="1" customHeight="1">
      <c r="A122" s="134" t="str">
        <f>Declaration!AA20</f>
        <v/>
      </c>
      <c r="B122" s="78"/>
      <c r="C122" s="135">
        <f t="shared" si="49"/>
        <v>0</v>
      </c>
      <c r="D122" s="84"/>
      <c r="E122" s="16" t="s">
        <v>15</v>
      </c>
      <c r="F122" s="83"/>
      <c r="G122" s="61"/>
      <c r="H122" s="62"/>
      <c r="I122" s="130"/>
      <c r="K122" s="133"/>
    </row>
    <row r="123" spans="1:12" ht="25.15" hidden="1" customHeight="1">
      <c r="A123" s="134" t="str">
        <f>Declaration!AA21</f>
        <v/>
      </c>
      <c r="B123" s="78"/>
      <c r="C123" s="135">
        <f t="shared" si="49"/>
        <v>0</v>
      </c>
      <c r="D123" s="84"/>
      <c r="E123" s="16" t="s">
        <v>15</v>
      </c>
      <c r="F123" s="83"/>
      <c r="G123" s="61"/>
      <c r="H123" s="62"/>
      <c r="I123" s="130"/>
      <c r="K123" s="133"/>
    </row>
    <row r="124" spans="1:12" ht="25.1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2" t="str">
        <f ca="1">OFFSET(L!$C$1,MATCH("Mine List"&amp;ADDRESS(ROW(),COLUMN(),4),L!$A:$A,0)-1,SL,,)</f>
        <v>TO BEGIN:</v>
      </c>
      <c r="C2" s="472" t="s">
        <v>19178</v>
      </c>
      <c r="D2" s="472" t="s">
        <v>19178</v>
      </c>
      <c r="E2" s="324"/>
      <c r="F2" s="324"/>
      <c r="G2" s="325"/>
      <c r="H2" s="473"/>
      <c r="I2" s="474"/>
      <c r="J2" s="474"/>
      <c r="K2" s="474"/>
      <c r="L2" s="474"/>
      <c r="M2" s="474"/>
      <c r="N2" s="326"/>
      <c r="O2" s="326"/>
    </row>
    <row r="3" spans="1:19" s="322" customFormat="1" ht="94.15" customHeight="1" thickBot="1">
      <c r="A3" s="358"/>
      <c r="B3" s="47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19178</v>
      </c>
      <c r="D3" s="475" t="s">
        <v>19178</v>
      </c>
      <c r="E3" s="476" t="s">
        <v>19176</v>
      </c>
      <c r="F3" s="476"/>
      <c r="G3" s="477"/>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25"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25"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25"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25"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25"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25"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25"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25"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25"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25"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25"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25"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25"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25"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25"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25"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25"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25"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25"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25"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25"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25"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25"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25"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25"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25"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25"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25"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25"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25"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25"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25"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25"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25"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25"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25"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25"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25"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25"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25"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25"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25"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25"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25"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25"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25"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25"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25"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25"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25"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25"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25"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25"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25"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25"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25"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25"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25"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25"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25"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25"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25"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25"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25"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25"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25"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25"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25"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25"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25"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25"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25"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25"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25"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25"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25"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25"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25"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25"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25"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25"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25"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25"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25"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25"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25"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25"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25"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25"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25"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25"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25"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25"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25"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25"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25"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25"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25"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25"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25"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25"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25"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25"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25"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25"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25"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25"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25"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25"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25"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25"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25"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25"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25"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25"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25"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25"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25"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25"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25"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25"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25"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25"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25"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25"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25"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25"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25"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25"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25"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25"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25"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25"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25"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25"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25"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25"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25"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25"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25"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25"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25"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25"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25"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25"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25"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25"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25"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25"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25"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25"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25"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25"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25"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25"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25"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25"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25"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25"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25"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25"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25"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25"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25"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25"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25"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25"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25"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25"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25"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25"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25"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25"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25"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25"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25"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25"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25"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25"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25"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25"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25"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25"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25"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25"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25"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25"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25"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25"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25"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25"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25"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25"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25"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25"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25"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25"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25"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25"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25"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25"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25"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25"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25"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25"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25"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25"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25"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25"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25"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25"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25"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25"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25"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25"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25"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25"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25"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25"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25"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25"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25"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25"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25"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25"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25"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25"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25"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25"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25"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25"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25"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25"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25"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25"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25"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25"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25"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25"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25"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25"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25"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25"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25"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25"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25"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25"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25"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25"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25"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25"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25"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25"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25"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25"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25"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25"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25"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25"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25"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25"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25"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25"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25"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25"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25"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25"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25"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25"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25"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25"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25"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25"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25"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25"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25"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25"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25"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25"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25"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25"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25"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25"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25"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25"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25"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25"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25"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25"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25"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25"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25"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25"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25"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25"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25"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25"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25"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25"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25"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25"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25"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25"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25"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25"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25"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25"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25"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25"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25"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25"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25"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25"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25"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25"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25"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25"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25"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25"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25"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25"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25"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25"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25"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25"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25"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25"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25"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25"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25"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25"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25"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25"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25"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25"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25"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25"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25"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25"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25"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25"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25"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25"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25"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25"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25"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25"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25"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25"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25"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25"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25"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25"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25"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25"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25"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25"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25"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25"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25"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25"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25"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25"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25"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25"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25"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25"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25"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25"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25"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25"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25"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25"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25"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25"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25"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25"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25"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25"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25"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25"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25"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25"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25"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25"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25"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25"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25"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25"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25"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25"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25"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25"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25"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25"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25"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25"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25"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25"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25"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25"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25"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25"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25"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25"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25"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25"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25"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25"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25"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25"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25"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25"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25"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25"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25"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25"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25"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25"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25"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25"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25"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25"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25"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25"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25"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25"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25"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25"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25"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25"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25"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25"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25"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25"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25"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25"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25"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25"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25"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25"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25"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25"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25"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25"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25"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25"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25"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25"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25"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25"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25"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25"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25"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25"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25"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25"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25"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25"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25"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25"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25"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25"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25"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25"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25"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25"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25"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25"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25"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25"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25"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25"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25"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25"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25"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25"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25"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25"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25"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25"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25"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25"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25"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25"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25"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25"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25"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25"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25"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25"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25"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25"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25"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25"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25"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25"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25"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25"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25"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25"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25"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25"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25"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25"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25"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25"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25"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25"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25"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25"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25"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25"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25"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25"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25"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25"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25"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25"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25"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25"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25"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25"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25"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25"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25"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25"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25"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25"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25"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25"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25"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25"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25"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25"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25"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25"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25"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25"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25"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25"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25"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25"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25"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25"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25"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25"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25"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25"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25"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25"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25"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25"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25"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25"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25"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25"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25"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25"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25"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25"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25"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25"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25"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25"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25"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25"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25"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25"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25"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25"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25"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25"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25"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25"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25"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25"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25"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25"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25"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25"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25"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25"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25"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25"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25"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25"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25"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25"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25"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25"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25"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25"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25"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25"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25"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25"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25"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25"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25"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25"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25"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25"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25"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25"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25"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25"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25"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25"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25"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25"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25"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25"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25"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25"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25"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25"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25"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25"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25"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25"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25"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25"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25"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25"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25"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25"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25"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25"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25"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25"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25"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25"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25"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25"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25"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25"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25"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25"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25"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25"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25"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25"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25"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25"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25"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25"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25"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25"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25"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25"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25"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25"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25"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25"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25"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25"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25"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25"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25"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25"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25"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25"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25"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25"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25"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25"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25"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25"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25"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25"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25"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25"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25"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25"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25"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25"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25"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25"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25"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25"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25"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25"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25"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25"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25"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25"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25"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25"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25"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25"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25"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25"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25"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25"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25"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25"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25"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25"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25"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25"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25"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25"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25"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25"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25"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25"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25"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25"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25"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25"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25"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25"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25"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25"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25"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25"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25"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25"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25"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25"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25"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25"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25"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25"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25"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25"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25"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25"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25"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25"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25"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25"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25"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25"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25"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25"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25"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25"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25"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25"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25"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25"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25"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25"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25"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25"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25"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25"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25"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25"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25"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25"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25"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25"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25"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25"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25"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25"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25"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25"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25"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25"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25"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25"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25"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25"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25"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25"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25"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25"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25"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25"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25"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25"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25"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25"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25"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25"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25"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25"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25"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25"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25"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25"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25"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25"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25"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25"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25"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25"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25"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25"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25"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25"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25"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25"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25"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25"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25"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25"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25"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25"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25"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25"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25"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25"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25"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25"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25"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25"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25"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25"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25"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25"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25"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25"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25"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25"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25"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25"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25"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25"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25"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25"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25"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25"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25"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25"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25"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25"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25"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25"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25"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25"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25"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25"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25"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25"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25"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25"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25"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25"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25"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25"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25"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25"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25"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25"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25"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25"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25"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25"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25"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25"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25"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25"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25"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25"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25"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25"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25"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25"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25"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25"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25"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25"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25"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25"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25"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25"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25"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25"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25"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25"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25"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25"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25"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25"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25"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25"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25"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25"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25"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25"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25"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25"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25"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25"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25"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25"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25"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25"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25"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25"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25"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25"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25"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25"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25"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25"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25"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25"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25"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25"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25"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25"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25"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25"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25"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25"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25"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25"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25"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25"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25"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25"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25"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25"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25"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25"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25"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25"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25"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25"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25"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25"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25"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25"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25"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25"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25"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25"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25"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25"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25"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25"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25"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25"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25"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25"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25"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25"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25"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25"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25"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25"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25"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25"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25"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25"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25"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25"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25"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25"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25"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25"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25"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25"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25"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25"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25"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25"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25"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25"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25"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25"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25"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25"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25"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25"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25"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25"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25"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25"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25"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25"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25"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25"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25"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25"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25"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25"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25"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25"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25"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25"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25"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25"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25"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25"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25"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25"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25"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25"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25"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25"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25"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25"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25"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25"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25"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25"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25"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25"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25"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25"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25"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25"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25"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25"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25"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25"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25"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25"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25"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25"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25"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25"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25"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25"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25"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25"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25"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25"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25"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25"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25"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25"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25"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25"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25"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25"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25"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25"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25"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25"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25"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25"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25"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25"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25"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25"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25"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25"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25"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25"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25"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25"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25"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25"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25"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25"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25"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25"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25"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25"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25"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25"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25"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25"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25"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25"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25"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25"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25"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25"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25"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25"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25"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25"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25"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25"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25"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25"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25"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25"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25"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25"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25"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25"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25"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25"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25"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25"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25"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25"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25"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25"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25"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25"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25"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25"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25"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25"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25"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25"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25"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25"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25"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25"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25"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25"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25"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25"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25"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25"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25"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25"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25"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25"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25"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25"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25"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25"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25"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25"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25"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25"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25"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25"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25"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25"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25"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25"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25"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25"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25"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25"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25"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25"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25"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25"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25"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25"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25"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25"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25"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25"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25"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25"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25"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25"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25"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25"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25"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25"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25"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25"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25"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25"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25"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25"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25"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25"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25"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25"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25"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25"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25"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25"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25"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25"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25"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25"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25"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25"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25"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25"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25"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25"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25"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25"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25"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25"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25"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25"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25"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25"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25"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25"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25"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25"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25"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25"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25"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25"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25"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25"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25"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25"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25"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25"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25"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25"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25"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25"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25"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25"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25"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25"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25"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25"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25"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25"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25"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25"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25"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25"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25"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25"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25"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25"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25"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25"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25"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25"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25"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25"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25"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25"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25"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25"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25"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25"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25"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25"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25"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25"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25"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25"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25"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25"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25"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25"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25"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25"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25"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25"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25"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25"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25"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25"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25"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25"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25"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25"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25"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25"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25"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25"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25"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25"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25"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25"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25"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25"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25"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25"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25"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25"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25"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25"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25"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25"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25"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25"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25"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25"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25"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25"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25"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25"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25"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25"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25"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25"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25"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25"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25"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25"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25"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25"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25"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25"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25"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25"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25"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25"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25"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25"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25"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25"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25"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25"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25"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25"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25"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25"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25"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25"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25"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25"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25"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25"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25"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25"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25"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25"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25"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25"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25"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25"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25"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25"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25"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25"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25"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25"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25"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25"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25"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25"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25"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25"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25"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25"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25"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25"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25"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25"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25"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25"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25"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25"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25"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25"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25"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25"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25"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25"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25"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25"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25"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25"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25"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25"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25"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25"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25"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25"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25"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25"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25"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25"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25"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25"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25"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25"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25"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25"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25"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25"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25"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25"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25"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25"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25"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25"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25"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25"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25"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25"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25"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25"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25"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25"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25"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25"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25"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25"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25"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25"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25"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25"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25"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25"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25"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25"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25"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25"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25"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25"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25"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25"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25"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25"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25"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25"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25"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25"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25"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25"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25"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25"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25"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25"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25"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25"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25"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25"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25"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25"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25"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25"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25"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25"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25"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25"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25"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25"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25"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25"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25"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25"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25"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25"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25"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25"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25"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25"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25"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25"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25"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25"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25"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25"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25"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25"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25"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25"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25"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25"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25"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25"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25"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25"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25"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25"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25"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25"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25"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25"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25"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25"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25"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25"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25"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25"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25"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25"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25"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25"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25"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25"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25"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25"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25"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25"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25"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25"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25"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25"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25"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25"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25"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25"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25"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25"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25"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25"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25"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25"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25"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25"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25"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25"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25"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25"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25"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25"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25"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25"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25"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25"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25"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25"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25"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25"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25"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25"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25"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25"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25"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25"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25"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25"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25"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25"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25"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25"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25"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25"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25"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25"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25"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25"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25"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25"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25"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25"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25"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25"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25"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25"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25"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25"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25"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25"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25"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25"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25"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25"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25"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25"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25"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25"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25"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25"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25"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25"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25"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25"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25"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25"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25"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25"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25"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25"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25"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25"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25"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25"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25"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25"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25"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25"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25"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25"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25"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25"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25"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25"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25"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25"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25"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25"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25"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25"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25"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25"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25"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25"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25"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25"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25"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25"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25"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25"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25"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25"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25"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25"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25"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25"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25"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25"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25"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25"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25"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25"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25"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25"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25"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25"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25"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25"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25"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25"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25"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25"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25"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25"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25"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25"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25"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25"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25"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25"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25"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25"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25"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25"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25"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25"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25"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25"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25"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25"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25"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25"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25"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25"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25"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25"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25"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25"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25"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25"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25"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25"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25"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25"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25"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25"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25"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25"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25"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25"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25"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25"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25"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25"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25"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25"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25"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25"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25"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25"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25"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25"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25"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25"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25"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25"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25"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25"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25"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25"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25"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25"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25"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25"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25"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25"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25"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25"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25"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25"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25"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25"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25"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25"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25"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25"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25"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25"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25"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25"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25"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25"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25"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25"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25"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25"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25"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25"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25"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25"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25"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25"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25"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25"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25"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25"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25"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25"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25"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25"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25"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25"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25"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25"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25"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25"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25"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25"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25"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25"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25"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25"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25"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25"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25"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25"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25"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25"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25"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25"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25"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25"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25"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25"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25"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25"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25"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25"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25"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25"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25"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25"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25"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25"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25"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25"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25"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25"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25"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25"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25"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25"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25"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25"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25"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25"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25"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25"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25"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25"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25"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25"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25"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25"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25"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25"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25"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25"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25"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25"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25"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25"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25"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25"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25"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25"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25"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25"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25"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25"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25"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25"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25"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25"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25"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25"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25"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25"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25"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25"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25"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25"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25"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25"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25"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25"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25"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25"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25"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25"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25"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25"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25"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25"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25"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25"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25"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25"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25"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25"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25"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25"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25"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25"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25"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25"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25"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25"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25"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25"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25"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25"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25"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25"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25"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25"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25"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25"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25"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25"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25"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25"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25"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25"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25"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25"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25"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25"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25"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25"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25"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25"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25"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25"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25"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25"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25"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25"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25"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25"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25"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25"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25"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25"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25"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25"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25"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25"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25"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25"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25"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25"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25"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25"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25"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25"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25"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25"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25"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25"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25"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25"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25"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25"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25"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25"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25"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25"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25"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25"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25"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25"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25"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25"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25"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25"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25"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25"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25"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25"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25"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25"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25"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25"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25"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25"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25"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25"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25"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25"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25"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25"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25"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25"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25"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25"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25"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25"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25"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25"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25"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25"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25"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25"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25"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25"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25"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25"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25"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25"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25"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25"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25"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25"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25"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25"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25"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25"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25"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25"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25"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25"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25"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25"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25"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25"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25"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25"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25"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25"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25"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25"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25"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25"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25"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25"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25"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25"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25"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25"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25"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25"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25"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25"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25"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25"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25"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25"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25"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25"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25"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25"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25"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25"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25"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25"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25"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25"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25"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25"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25"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25"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25"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25"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25"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25"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25"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25"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25"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25"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25"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25"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25"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25"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25"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25"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25"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25"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25"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25"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25"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25"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25"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25"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25"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25"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25"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25"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25"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25"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25"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25"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25"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25"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25"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25"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25"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25"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25"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25"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25"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25"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25"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25"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25"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25"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25"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25"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25"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25"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25"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25"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25"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25"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25"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25"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25"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25"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25"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25"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25"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25"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25"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25"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25"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25"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25"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25"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25"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25"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25"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25"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25"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25"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25"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25"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25"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25"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25"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25"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25"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25"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25"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25"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25"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25"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25"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25"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25"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25"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25"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25"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25"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25"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25"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25"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25"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25"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25"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25"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25"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25"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25"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25"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25"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25"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25"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25"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25"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25"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25"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25"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25"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25"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25"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25"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25"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25"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25"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25"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25"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25"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25"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25"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25"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25"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25"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25"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25"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25"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25"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25"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25"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25"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25"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25"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25"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25"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25"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25"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25"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25"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25"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25"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25"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25"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25"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25"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25"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25"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25"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25"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25"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25"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25"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25"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25"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25"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25"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25"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25"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25"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25"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25"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25"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25"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25"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25"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25"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25"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25"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25"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25"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25"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25"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25"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25"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25"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25"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25"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25"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25"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25"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25"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25"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25"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25"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25"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25"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25"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25"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25"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25"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25"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25"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25"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25"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25"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25"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25"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25"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25"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25"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25"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25"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25"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25"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25"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25"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25"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25"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25"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25"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25"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25"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25"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25"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25"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25"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25"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25"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25"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25"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25"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25"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25"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25"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25"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25"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25"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25"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25"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25"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25"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25"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25"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25"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25"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25"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25"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25"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25"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25"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25"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25"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25"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25"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25"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25"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25"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25"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25"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25"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25"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25"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25"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25"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25"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25"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25"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25"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25"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25"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25"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25"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25"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25"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25"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25"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25"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25"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25"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25"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25"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25"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25"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25"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25"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25"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25"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25"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25"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25"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25"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25"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25"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25"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25"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25"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25"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25"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25"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25"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25"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25"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25"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25"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25"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25"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25"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25"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25"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25"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25"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25"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25"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25"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25"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25"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25"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25"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25"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25"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25"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25"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25"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25"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25"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25"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25"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25"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25"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25"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25"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25"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25"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25"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25"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25"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25"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25"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25"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25"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25"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25"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25"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25"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25"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25"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25"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25"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25"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25"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25"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25"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25"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25"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25"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25"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25"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25"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25"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25"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25"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25"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25"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25"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25"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25"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25"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25"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25"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25"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25"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25"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25"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25"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25"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25"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25"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25"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25"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25"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25"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25"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25"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25"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25"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25"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25"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25"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25"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25"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25"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25"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25"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25"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25"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25"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25"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25"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25"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25"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25"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25"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25"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25"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25"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25"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25"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25"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25"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25"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25"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25"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25"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25"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25"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25"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25"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25"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25"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25"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25"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25"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25"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25"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25"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25"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25"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25"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25"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25"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25"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25"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25"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25"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25"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25"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25"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25"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25"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25"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25"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25"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25"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25"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25"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25"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25"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25"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25"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25"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25"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25"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25"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25"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25"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25"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25"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25"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25"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25"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25"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25"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25"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25"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25"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25"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25"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25"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25"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25"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25"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25"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25"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25"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25"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25"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25"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25"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25"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25"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25"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25"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25"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25"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25"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25"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25"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25"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25"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25"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25"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25"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25"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25"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25"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25"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25"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25"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25"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25"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25"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25"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25"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25"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25"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25"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25"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25"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25"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25"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25"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25"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25"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25"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25"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25"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25"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25"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25"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25"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25"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25"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25"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25"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25"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25"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25"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25"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25"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25"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25"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25"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25"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25"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25"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25"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25"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25"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25"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25"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25"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25"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25"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25"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25"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25"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25"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25"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6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45"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9" t="str">
        <f ca="1">OFFSET(L!$C$1,MATCH("Product List"&amp;ADDRESS(ROW(),COLUMN(),4),L!$A:$A,0)-1,SL,,)</f>
        <v>Completion required only if reporting level "Product (or List of Products)" selected on the 'Declaration' worksheet.</v>
      </c>
      <c r="B1" s="480"/>
      <c r="C1" s="480"/>
      <c r="D1" s="480"/>
      <c r="E1" s="480"/>
      <c r="F1" s="480"/>
      <c r="G1" s="106"/>
    </row>
    <row r="2" spans="1:37">
      <c r="A2" s="19"/>
      <c r="B2" s="108"/>
      <c r="C2" s="108"/>
      <c r="D2" s="108"/>
      <c r="E2" s="108"/>
      <c r="F2"/>
      <c r="G2" s="20"/>
    </row>
    <row r="3" spans="1:37">
      <c r="A3" s="19"/>
      <c r="B3" s="108"/>
      <c r="C3" s="108"/>
      <c r="D3" s="108"/>
      <c r="E3" s="108"/>
      <c r="F3" s="108"/>
      <c r="G3" s="20"/>
    </row>
    <row r="4" spans="1:37" ht="15.75" customHeight="1">
      <c r="A4" s="19"/>
      <c r="B4" s="478" t="s">
        <v>47</v>
      </c>
      <c r="C4" s="478"/>
      <c r="D4" s="478"/>
      <c r="E4" s="478"/>
      <c r="F4" s="47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1" t="str">
        <f ca="1">OFFSET(L!$C$1,MATCH("General"&amp;"Cpy",L!$A:$A,0)-1,SL,,)</f>
        <v>© 2025 Responsible Minerals Initiative. All rights reserved.</v>
      </c>
      <c r="C1001" s="481"/>
      <c r="D1001" s="481"/>
      <c r="E1001" s="481"/>
      <c r="F1001" s="48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9" style="155" hidden="1" customWidth="1"/>
    <col min="12" max="12" width="17.5" style="155" customWidth="1"/>
    <col min="13" max="13" width="16" style="155" customWidth="1"/>
    <col min="14" max="16384" width="9" style="155"/>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QMS</cp:lastModifiedBy>
  <cp:revision/>
  <dcterms:created xsi:type="dcterms:W3CDTF">2010-06-21T21:00:23Z</dcterms:created>
  <dcterms:modified xsi:type="dcterms:W3CDTF">2025-12-18T16:52:17Z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