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C:\Users\LJ QMS\Downloads\"/>
    </mc:Choice>
  </mc:AlternateContent>
  <xr:revisionPtr revIDLastSave="0" documentId="13_ncr:1_{87BF8892-C552-42CB-BFE5-6BE88406A654}"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Q17" i="4" s="1"/>
  <c r="P14" i="4"/>
  <c r="Q14" i="4" s="1"/>
  <c r="P13" i="4"/>
  <c r="P12" i="4"/>
  <c r="Q13" i="4" s="1"/>
  <c r="P21" i="4"/>
  <c r="P20" i="4"/>
  <c r="P16" i="4"/>
  <c r="P15" i="4"/>
  <c r="Q16" i="4"/>
  <c r="R16" i="4" s="1"/>
  <c r="Q15" i="4"/>
  <c r="Q20" i="4"/>
  <c r="Q12" i="4"/>
  <c r="R12" i="4" s="1"/>
  <c r="R20" i="4"/>
  <c r="S20" i="4" s="1"/>
  <c r="T20" i="4" s="1"/>
  <c r="Q21" i="4"/>
  <c r="R21" i="4"/>
  <c r="S21" i="4"/>
  <c r="T21" i="4" s="1"/>
  <c r="U21" i="4" s="1"/>
  <c r="V21" i="4" s="1"/>
  <c r="W21" i="4" s="1"/>
  <c r="X21" i="4" s="1"/>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G108" i="6" s="1"/>
  <c r="B107" i="6"/>
  <c r="B106" i="6"/>
  <c r="B105" i="6"/>
  <c r="B104" i="6"/>
  <c r="B103" i="6"/>
  <c r="B102" i="6"/>
  <c r="B101" i="6"/>
  <c r="B100" i="6"/>
  <c r="G100" i="6" s="1"/>
  <c r="B99" i="6"/>
  <c r="B98" i="6"/>
  <c r="B96" i="6"/>
  <c r="B95" i="6"/>
  <c r="B94" i="6"/>
  <c r="B92" i="6"/>
  <c r="B91" i="6"/>
  <c r="B90" i="6"/>
  <c r="B89" i="6"/>
  <c r="B88" i="6"/>
  <c r="B87" i="6"/>
  <c r="B86" i="6"/>
  <c r="B85" i="6"/>
  <c r="B84" i="6"/>
  <c r="B83" i="6"/>
  <c r="B81" i="6"/>
  <c r="B80" i="6"/>
  <c r="B79" i="6"/>
  <c r="B78" i="6"/>
  <c r="B77" i="6"/>
  <c r="B76" i="6"/>
  <c r="B75" i="6"/>
  <c r="B74" i="6"/>
  <c r="B73" i="6"/>
  <c r="G73" i="6" s="1"/>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G30" i="6" s="1"/>
  <c r="B29" i="6"/>
  <c r="G29" i="6" s="1"/>
  <c r="B28" i="6"/>
  <c r="B26" i="6"/>
  <c r="B25" i="6"/>
  <c r="B24" i="6"/>
  <c r="B23" i="6"/>
  <c r="B22" i="6"/>
  <c r="B21" i="6"/>
  <c r="B20" i="6"/>
  <c r="G20" i="6" s="1"/>
  <c r="B19" i="6"/>
  <c r="B18" i="6"/>
  <c r="B17" i="6"/>
  <c r="B15" i="6"/>
  <c r="B13" i="6"/>
  <c r="B12" i="6"/>
  <c r="G12" i="6" s="1"/>
  <c r="H12" i="6" s="1"/>
  <c r="D12" i="6" s="1"/>
  <c r="B11" i="6"/>
  <c r="B10" i="6"/>
  <c r="G10" i="6" s="1"/>
  <c r="H10" i="6" s="1"/>
  <c r="D10" i="6" s="1"/>
  <c r="B9" i="6"/>
  <c r="G9" i="6" s="1"/>
  <c r="H9" i="6" s="1"/>
  <c r="D9" i="6" s="1"/>
  <c r="B6" i="6"/>
  <c r="G6" i="6" s="1"/>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89" i="4" s="1"/>
  <c r="B113" i="4"/>
  <c r="H101" i="4"/>
  <c r="S51" i="4"/>
  <c r="S50" i="4"/>
  <c r="S49" i="4"/>
  <c r="T49" i="4" s="1"/>
  <c r="S48" i="4"/>
  <c r="S47" i="4"/>
  <c r="S46" i="4"/>
  <c r="S45" i="4"/>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26" i="5"/>
  <c r="B27" i="5"/>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88" i="6"/>
  <c r="G87" i="6"/>
  <c r="G86" i="6"/>
  <c r="G85" i="6"/>
  <c r="G84" i="6"/>
  <c r="G83" i="6"/>
  <c r="G77" i="6"/>
  <c r="G76" i="6"/>
  <c r="G75" i="6"/>
  <c r="G74" i="6"/>
  <c r="G72" i="6"/>
  <c r="J74" i="6"/>
  <c r="G66" i="6"/>
  <c r="G65" i="6"/>
  <c r="G64" i="6"/>
  <c r="G63" i="6"/>
  <c r="G62" i="6"/>
  <c r="G61" i="6"/>
  <c r="G55" i="6"/>
  <c r="G54" i="6"/>
  <c r="G53" i="6"/>
  <c r="G52" i="6"/>
  <c r="G51" i="6"/>
  <c r="G50" i="6"/>
  <c r="G44" i="6"/>
  <c r="G43" i="6"/>
  <c r="G42" i="6"/>
  <c r="G41" i="6"/>
  <c r="G39" i="6"/>
  <c r="G33" i="6"/>
  <c r="G32" i="6"/>
  <c r="G31" i="6"/>
  <c r="G28" i="6"/>
  <c r="G17" i="6"/>
  <c r="C37" i="6"/>
  <c r="C36" i="6"/>
  <c r="C35" i="6"/>
  <c r="C34" i="6"/>
  <c r="I33" i="6"/>
  <c r="J33" i="6"/>
  <c r="I32" i="6"/>
  <c r="J32" i="6"/>
  <c r="I31" i="6"/>
  <c r="J31" i="6"/>
  <c r="I30" i="6"/>
  <c r="J30" i="6"/>
  <c r="I29" i="6"/>
  <c r="J29" i="6"/>
  <c r="B155" i="5"/>
  <c r="B156" i="5"/>
  <c r="B190" i="5"/>
  <c r="B191" i="5"/>
  <c r="B289" i="5"/>
  <c r="B290" i="5"/>
  <c r="B347" i="5"/>
  <c r="B348" i="5"/>
  <c r="B394" i="5"/>
  <c r="B395"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9" i="6"/>
  <c r="G110" i="6"/>
  <c r="G111" i="6"/>
  <c r="G13" i="6"/>
  <c r="H13" i="6"/>
  <c r="G5" i="6"/>
  <c r="H5" i="6"/>
  <c r="F6" i="6"/>
  <c r="G11" i="6"/>
  <c r="H11" i="6" s="1"/>
  <c r="D11"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6" i="6" l="1"/>
  <c r="B25" i="5"/>
  <c r="C27" i="5"/>
  <c r="C26" i="5"/>
  <c r="B24" i="5"/>
  <c r="C25" i="5"/>
  <c r="C24" i="5"/>
  <c r="C23" i="5"/>
  <c r="B23" i="5"/>
  <c r="B22" i="5"/>
  <c r="C22" i="5"/>
  <c r="B21" i="5"/>
  <c r="C21" i="5"/>
  <c r="B20" i="5"/>
  <c r="C20" i="5"/>
  <c r="B19" i="5"/>
  <c r="C19" i="5"/>
  <c r="B18" i="5"/>
  <c r="B17" i="5"/>
  <c r="C18" i="5"/>
  <c r="C17" i="5"/>
  <c r="C16" i="5"/>
  <c r="B16" i="5"/>
  <c r="C15" i="5"/>
  <c r="B14" i="5"/>
  <c r="C14" i="5"/>
  <c r="B13" i="5"/>
  <c r="C12" i="5"/>
  <c r="C13" i="5"/>
  <c r="B12" i="5"/>
  <c r="C11" i="5"/>
  <c r="B10" i="5"/>
  <c r="B11" i="5"/>
  <c r="C10" i="5"/>
  <c r="C9" i="5"/>
  <c r="B9" i="5"/>
  <c r="B8" i="5"/>
  <c r="C8" i="5"/>
  <c r="C6" i="5"/>
  <c r="B7" i="5"/>
  <c r="C7" i="5"/>
  <c r="B6" i="5"/>
  <c r="B5" i="5"/>
  <c r="AB5" i="5" s="1"/>
  <c r="C13" i="6"/>
  <c r="C15" i="6"/>
  <c r="C12" i="6"/>
  <c r="C11" i="6"/>
  <c r="C10" i="6"/>
  <c r="C9" i="6"/>
  <c r="Q18" i="4"/>
  <c r="R18" i="4" s="1"/>
  <c r="U20" i="4"/>
  <c r="V20" i="4" s="1"/>
  <c r="W20" i="4" s="1"/>
  <c r="C5" i="6"/>
  <c r="T46" i="4"/>
  <c r="U46" i="4" s="1"/>
  <c r="T42" i="4"/>
  <c r="U42" i="4" s="1"/>
  <c r="Q19" i="4"/>
  <c r="R19" i="4" s="1"/>
  <c r="R17" i="4"/>
  <c r="R15" i="4"/>
  <c r="T47" i="4"/>
  <c r="T50" i="4"/>
  <c r="U50" i="4" s="1"/>
  <c r="V50" i="4" s="1"/>
  <c r="T51" i="4"/>
  <c r="U51" i="4" s="1"/>
  <c r="V51" i="4" s="1"/>
  <c r="W51" i="4" s="1"/>
  <c r="T45" i="4"/>
  <c r="T44" i="4"/>
  <c r="T48" i="4"/>
  <c r="R14" i="4"/>
  <c r="R13" i="4"/>
  <c r="D6" i="6"/>
  <c r="C6" i="6"/>
  <c r="D77" i="4"/>
  <c r="G89" i="4"/>
  <c r="D101" i="4"/>
  <c r="G101" i="4"/>
  <c r="C4" i="6"/>
  <c r="D4" i="6"/>
  <c r="G77" i="4"/>
  <c r="G114" i="4"/>
  <c r="D41" i="4"/>
  <c r="D53" i="4"/>
  <c r="G41" i="4"/>
  <c r="G53" i="4"/>
  <c r="D114" i="4"/>
  <c r="D65" i="4"/>
  <c r="V27" i="5" l="1"/>
  <c r="G27" i="5"/>
  <c r="AB27" i="5"/>
  <c r="AB26" i="5"/>
  <c r="V26" i="5"/>
  <c r="G26" i="5" s="1"/>
  <c r="V25" i="5"/>
  <c r="G25" i="5" s="1"/>
  <c r="AB25" i="5"/>
  <c r="V24" i="5"/>
  <c r="G24" i="5" s="1"/>
  <c r="AB24" i="5"/>
  <c r="V23" i="5"/>
  <c r="G23" i="5" s="1"/>
  <c r="AB23" i="5"/>
  <c r="V22" i="5"/>
  <c r="G22" i="5" s="1"/>
  <c r="AB22" i="5"/>
  <c r="V21" i="5"/>
  <c r="AB21" i="5"/>
  <c r="V20" i="5"/>
  <c r="AB20" i="5"/>
  <c r="AB19" i="5"/>
  <c r="V19" i="5"/>
  <c r="V12" i="5"/>
  <c r="I12" i="5" s="1"/>
  <c r="AB18" i="5"/>
  <c r="V18" i="5"/>
  <c r="V17" i="5"/>
  <c r="G17" i="5" s="1"/>
  <c r="AB17" i="5"/>
  <c r="V16" i="5"/>
  <c r="AB16" i="5"/>
  <c r="V15" i="5"/>
  <c r="AB15" i="5"/>
  <c r="AB14" i="5"/>
  <c r="V14" i="5"/>
  <c r="G14" i="5" s="1"/>
  <c r="F124" i="6"/>
  <c r="C124" i="6" s="1"/>
  <c r="AB13" i="5"/>
  <c r="V13" i="5"/>
  <c r="AB12" i="5"/>
  <c r="AB11" i="5"/>
  <c r="V11" i="5"/>
  <c r="AB10" i="5"/>
  <c r="V10" i="5"/>
  <c r="G10" i="5" s="1"/>
  <c r="V9" i="5"/>
  <c r="G9" i="5" s="1"/>
  <c r="AB9" i="5"/>
  <c r="AB8" i="5"/>
  <c r="V8" i="5"/>
  <c r="G8" i="5" s="1"/>
  <c r="AB7" i="5"/>
  <c r="V7" i="5"/>
  <c r="G7" i="5" s="1"/>
  <c r="AB6" i="5"/>
  <c r="V6" i="5"/>
  <c r="V5" i="5"/>
  <c r="U45" i="4"/>
  <c r="U49" i="4"/>
  <c r="V49" i="4" s="1"/>
  <c r="W49" i="4" s="1"/>
  <c r="X20" i="4"/>
  <c r="Y20" i="4" s="1"/>
  <c r="S17" i="4"/>
  <c r="S16" i="4"/>
  <c r="S19" i="4"/>
  <c r="T19" i="4" s="1"/>
  <c r="S18" i="4"/>
  <c r="U44" i="4"/>
  <c r="U43" i="4"/>
  <c r="S13" i="4"/>
  <c r="S12" i="4"/>
  <c r="T12" i="4" s="1"/>
  <c r="S15" i="4"/>
  <c r="S14" i="4"/>
  <c r="W50" i="4"/>
  <c r="X50" i="4" s="1"/>
  <c r="U48" i="4"/>
  <c r="U47" i="4"/>
  <c r="X51" i="4"/>
  <c r="Y51" i="4" s="1"/>
  <c r="E27" i="5" l="1"/>
  <c r="X27" i="5" s="1"/>
  <c r="F27" i="5"/>
  <c r="R27" i="5"/>
  <c r="H27" i="5"/>
  <c r="J27" i="5"/>
  <c r="I27" i="5"/>
  <c r="E26" i="5"/>
  <c r="H26" i="5"/>
  <c r="J26" i="5"/>
  <c r="I26" i="5"/>
  <c r="F26" i="5"/>
  <c r="R26" i="5"/>
  <c r="R25" i="5"/>
  <c r="E25" i="5"/>
  <c r="F25" i="5"/>
  <c r="I25" i="5"/>
  <c r="J25" i="5"/>
  <c r="H25" i="5"/>
  <c r="R24" i="5"/>
  <c r="E24" i="5"/>
  <c r="J24" i="5"/>
  <c r="I24" i="5"/>
  <c r="F24" i="5"/>
  <c r="H24" i="5"/>
  <c r="H23" i="5"/>
  <c r="I23" i="5"/>
  <c r="F23" i="5"/>
  <c r="E23" i="5"/>
  <c r="R23" i="5"/>
  <c r="J23" i="5"/>
  <c r="I22" i="5"/>
  <c r="H22" i="5"/>
  <c r="E22" i="5"/>
  <c r="J22" i="5"/>
  <c r="R22" i="5"/>
  <c r="F22" i="5"/>
  <c r="R21" i="5"/>
  <c r="J21" i="5"/>
  <c r="I21" i="5"/>
  <c r="E21" i="5"/>
  <c r="F21" i="5"/>
  <c r="H21" i="5"/>
  <c r="G21" i="5"/>
  <c r="H20" i="5"/>
  <c r="F20" i="5"/>
  <c r="I20" i="5"/>
  <c r="E20" i="5"/>
  <c r="R20" i="5"/>
  <c r="J20" i="5"/>
  <c r="G20" i="5"/>
  <c r="H19" i="5"/>
  <c r="J19" i="5"/>
  <c r="I19" i="5"/>
  <c r="E19" i="5"/>
  <c r="F19" i="5"/>
  <c r="R19" i="5"/>
  <c r="G19" i="5"/>
  <c r="G12" i="5"/>
  <c r="R12" i="5"/>
  <c r="F12" i="5"/>
  <c r="J12" i="5"/>
  <c r="E12" i="5"/>
  <c r="X12" i="5" s="1"/>
  <c r="E18" i="5"/>
  <c r="R18" i="5"/>
  <c r="J18" i="5"/>
  <c r="H18" i="5"/>
  <c r="F18" i="5"/>
  <c r="I18" i="5"/>
  <c r="G18" i="5"/>
  <c r="H12" i="5"/>
  <c r="E17" i="5"/>
  <c r="R17" i="5"/>
  <c r="I17" i="5"/>
  <c r="F17" i="5"/>
  <c r="H17" i="5"/>
  <c r="J17" i="5"/>
  <c r="R16" i="5"/>
  <c r="F16" i="5"/>
  <c r="I16" i="5"/>
  <c r="E16" i="5"/>
  <c r="J16" i="5"/>
  <c r="H16" i="5"/>
  <c r="G16" i="5"/>
  <c r="R15" i="5"/>
  <c r="E15" i="5"/>
  <c r="F15" i="5"/>
  <c r="H15" i="5"/>
  <c r="I15" i="5"/>
  <c r="J15" i="5"/>
  <c r="G15" i="5"/>
  <c r="I14" i="5"/>
  <c r="R14" i="5"/>
  <c r="F14" i="5"/>
  <c r="H14" i="5"/>
  <c r="J14" i="5"/>
  <c r="E14" i="5"/>
  <c r="X14" i="5" s="1"/>
  <c r="R13" i="5"/>
  <c r="F13" i="5"/>
  <c r="H13" i="5"/>
  <c r="E13" i="5"/>
  <c r="I13" i="5"/>
  <c r="J13" i="5"/>
  <c r="G13" i="5"/>
  <c r="F11" i="5"/>
  <c r="R11" i="5"/>
  <c r="J11" i="5"/>
  <c r="I11" i="5"/>
  <c r="H11" i="5"/>
  <c r="E11" i="5"/>
  <c r="G11" i="5"/>
  <c r="R10" i="5"/>
  <c r="J10" i="5"/>
  <c r="I10" i="5"/>
  <c r="H10" i="5"/>
  <c r="E10" i="5"/>
  <c r="F10" i="5"/>
  <c r="H9" i="5"/>
  <c r="E9" i="5"/>
  <c r="F9" i="5"/>
  <c r="R9" i="5"/>
  <c r="J9" i="5"/>
  <c r="I9" i="5"/>
  <c r="R8" i="5"/>
  <c r="J8" i="5"/>
  <c r="I8" i="5"/>
  <c r="H8" i="5"/>
  <c r="E8" i="5"/>
  <c r="F8" i="5"/>
  <c r="J7" i="5"/>
  <c r="I7" i="5"/>
  <c r="H7" i="5"/>
  <c r="E7" i="5"/>
  <c r="F7" i="5"/>
  <c r="R7" i="5"/>
  <c r="E6" i="5"/>
  <c r="F6" i="5"/>
  <c r="R6" i="5"/>
  <c r="J6" i="5"/>
  <c r="I6" i="5"/>
  <c r="H6" i="5"/>
  <c r="G6" i="5"/>
  <c r="R5" i="5"/>
  <c r="J5" i="5"/>
  <c r="I5" i="5"/>
  <c r="H5" i="5"/>
  <c r="E5" i="5"/>
  <c r="F5" i="5"/>
  <c r="G5" i="5"/>
  <c r="V45" i="4"/>
  <c r="V44" i="4"/>
  <c r="W44" i="4" s="1"/>
  <c r="V48" i="4"/>
  <c r="W48" i="4" s="1"/>
  <c r="X48" i="4" s="1"/>
  <c r="Z20" i="4"/>
  <c r="U19" i="4"/>
  <c r="V19" i="4" s="1"/>
  <c r="W19" i="4" s="1"/>
  <c r="X19" i="4" s="1"/>
  <c r="Y19" i="4" s="1"/>
  <c r="Z19" i="4" s="1"/>
  <c r="T18" i="4"/>
  <c r="U18" i="4" s="1"/>
  <c r="V18" i="4" s="1"/>
  <c r="T17" i="4"/>
  <c r="X49" i="4"/>
  <c r="Y49" i="4" s="1"/>
  <c r="Z51" i="4"/>
  <c r="AA51" i="4" s="1"/>
  <c r="V47" i="4"/>
  <c r="V46" i="4"/>
  <c r="T16" i="4"/>
  <c r="T15" i="4"/>
  <c r="Y50" i="4"/>
  <c r="Z50" i="4" s="1"/>
  <c r="V42" i="4"/>
  <c r="W42" i="4" s="1"/>
  <c r="V43" i="4"/>
  <c r="T14" i="4"/>
  <c r="T13" i="4"/>
  <c r="S12" i="5"/>
  <c r="S13" i="5"/>
  <c r="X26" i="5" l="1"/>
  <c r="X25" i="5"/>
  <c r="X24" i="5"/>
  <c r="X23" i="5"/>
  <c r="X22" i="5"/>
  <c r="X21" i="5"/>
  <c r="X20" i="5"/>
  <c r="X19" i="5"/>
  <c r="X18" i="5"/>
  <c r="X17" i="5"/>
  <c r="X16" i="5"/>
  <c r="X15" i="5"/>
  <c r="X13" i="5"/>
  <c r="X11" i="5"/>
  <c r="X10" i="5"/>
  <c r="X9" i="5"/>
  <c r="X8" i="5"/>
  <c r="X7" i="5"/>
  <c r="X6" i="5"/>
  <c r="X5" i="5"/>
  <c r="G124" i="6" a="1"/>
  <c r="G124" i="6" s="1"/>
  <c r="H124" i="6" s="1"/>
  <c r="D124" i="6" s="1"/>
  <c r="W47" i="4"/>
  <c r="X47" i="4" s="1"/>
  <c r="Y47" i="4" s="1"/>
  <c r="W43" i="4"/>
  <c r="X43" i="4" s="1"/>
  <c r="W18" i="4"/>
  <c r="X18" i="4" s="1"/>
  <c r="Y18" i="4" s="1"/>
  <c r="Z18" i="4" s="1"/>
  <c r="Z49" i="4"/>
  <c r="AA49" i="4" s="1"/>
  <c r="AA50" i="4"/>
  <c r="AB50" i="4" s="1"/>
  <c r="Y48" i="4"/>
  <c r="Z48" i="4" s="1"/>
  <c r="U16" i="4"/>
  <c r="U17" i="4"/>
  <c r="V17" i="4" s="1"/>
  <c r="W45" i="4"/>
  <c r="W46" i="4"/>
  <c r="U13" i="4"/>
  <c r="U12" i="4"/>
  <c r="V12" i="4" s="1"/>
  <c r="AB51" i="4"/>
  <c r="AC51" i="4" s="1"/>
  <c r="U15" i="4"/>
  <c r="U14" i="4"/>
  <c r="T13" i="5"/>
  <c r="S24" i="5"/>
  <c r="S20" i="5"/>
  <c r="S16" i="5"/>
  <c r="S11" i="5"/>
  <c r="S7" i="5"/>
  <c r="S9" i="5"/>
  <c r="S5" i="5"/>
  <c r="S8" i="5"/>
  <c r="S14" i="5"/>
  <c r="S23" i="5"/>
  <c r="S19" i="5"/>
  <c r="S15" i="5"/>
  <c r="S10" i="5"/>
  <c r="S6" i="5"/>
  <c r="S26" i="5"/>
  <c r="S22" i="5"/>
  <c r="S18" i="5"/>
  <c r="S25" i="5"/>
  <c r="S21" i="5"/>
  <c r="S17" i="5"/>
  <c r="T12" i="5"/>
  <c r="X46" i="4" l="1"/>
  <c r="X42" i="4"/>
  <c r="Y42" i="4" s="1"/>
  <c r="AC50" i="4"/>
  <c r="AB49" i="4"/>
  <c r="AC49" i="4" s="1"/>
  <c r="X45" i="4"/>
  <c r="Y45" i="4" s="1"/>
  <c r="X44" i="4"/>
  <c r="V16" i="4"/>
  <c r="W16" i="4" s="1"/>
  <c r="V15" i="4"/>
  <c r="Z47" i="4"/>
  <c r="AA47" i="4" s="1"/>
  <c r="V14" i="4"/>
  <c r="V13" i="4"/>
  <c r="AA48" i="4"/>
  <c r="AB48" i="4" s="1"/>
  <c r="T14" i="5"/>
  <c r="T23" i="5"/>
  <c r="T19" i="5"/>
  <c r="T15" i="5"/>
  <c r="T8" i="5"/>
  <c r="T10" i="5"/>
  <c r="T6" i="5"/>
  <c r="T5" i="5"/>
  <c r="T26" i="5"/>
  <c r="T22" i="5"/>
  <c r="T18" i="5"/>
  <c r="T11" i="5"/>
  <c r="T7" i="5"/>
  <c r="T25" i="5"/>
  <c r="T21" i="5"/>
  <c r="T17" i="5"/>
  <c r="T9" i="5"/>
  <c r="T24" i="5"/>
  <c r="T20" i="5"/>
  <c r="T16" i="5"/>
  <c r="Y46" i="4" l="1"/>
  <c r="Z46" i="4" s="1"/>
  <c r="AC48" i="4"/>
  <c r="AB47" i="4"/>
  <c r="AC47" i="4" s="1"/>
  <c r="W12" i="4"/>
  <c r="X12" i="4" s="1"/>
  <c r="W13" i="4"/>
  <c r="W17" i="4"/>
  <c r="X17" i="4" s="1"/>
  <c r="W15" i="4"/>
  <c r="X16" i="4" s="1"/>
  <c r="W14" i="4"/>
  <c r="Y44" i="4"/>
  <c r="Z44" i="4" s="1"/>
  <c r="Y43" i="4"/>
  <c r="AA46" i="4" l="1"/>
  <c r="AB46" i="4" s="1"/>
  <c r="Z45" i="4"/>
  <c r="AA45" i="4" s="1"/>
  <c r="X15" i="4"/>
  <c r="Y14" i="4" s="1"/>
  <c r="Z42" i="4"/>
  <c r="AA42" i="4" s="1"/>
  <c r="Z43" i="4"/>
  <c r="AA43" i="4" s="1"/>
  <c r="X13" i="4"/>
  <c r="X14" i="4"/>
  <c r="Y17" i="4"/>
  <c r="Z17" i="4" s="1"/>
  <c r="Y16" i="4"/>
  <c r="AA44" i="4" l="1"/>
  <c r="Y15" i="4"/>
  <c r="Z15" i="4" s="1"/>
  <c r="AB42" i="4"/>
  <c r="AC42" i="4" s="1"/>
  <c r="AB43" i="4"/>
  <c r="Y12" i="4"/>
  <c r="Z12" i="4" s="1"/>
  <c r="Y13" i="4"/>
  <c r="Z14" i="4" s="1"/>
  <c r="AB44" i="4" l="1"/>
  <c r="AC44" i="4" s="1"/>
  <c r="AB45" i="4"/>
  <c r="Z16" i="4"/>
  <c r="Z13" i="4"/>
  <c r="AA13" i="4" s="1" a="1"/>
  <c r="AA13" i="4" s="1"/>
  <c r="AA12" i="4"/>
  <c r="AC43" i="4" l="1"/>
  <c r="AC45" i="4"/>
  <c r="AC46" i="4"/>
  <c r="AA14" i="4" a="1"/>
  <c r="AA14" i="4" s="1"/>
  <c r="A114" i="6"/>
  <c r="G114" i="6" s="1"/>
  <c r="B30" i="4"/>
  <c r="A115" i="6"/>
  <c r="G115" i="6" s="1"/>
  <c r="B31" i="4"/>
  <c r="A17" i="6" l="1"/>
  <c r="G7" i="6"/>
  <c r="H7" i="6" s="1"/>
  <c r="O30" i="4"/>
  <c r="A18" i="6"/>
  <c r="O31" i="4"/>
  <c r="A116" i="6"/>
  <c r="G116" i="6" s="1"/>
  <c r="B32" i="4"/>
  <c r="AA15" i="4" a="1"/>
  <c r="AA15" i="4" s="1"/>
  <c r="F39" i="6" l="1"/>
  <c r="F28" i="6"/>
  <c r="H28" i="6" s="1"/>
  <c r="F17" i="6"/>
  <c r="H17" i="6" s="1"/>
  <c r="A19" i="6"/>
  <c r="O32" i="4"/>
  <c r="P55" i="4"/>
  <c r="P43" i="4"/>
  <c r="B43" i="4" s="1"/>
  <c r="A29" i="6" s="1"/>
  <c r="F29" i="6"/>
  <c r="H29" i="6" s="1"/>
  <c r="F40" i="6"/>
  <c r="F18" i="6"/>
  <c r="H18" i="6" s="1"/>
  <c r="P54" i="4"/>
  <c r="P42" i="4"/>
  <c r="B42" i="4" s="1"/>
  <c r="A28" i="6" s="1"/>
  <c r="A117" i="6"/>
  <c r="G117" i="6" s="1"/>
  <c r="B33" i="4"/>
  <c r="D7" i="6"/>
  <c r="C7" i="6"/>
  <c r="AA16" i="4" a="1"/>
  <c r="AA16" i="4" s="1"/>
  <c r="B55" i="4" l="1"/>
  <c r="A40" i="6" s="1"/>
  <c r="B103" i="4"/>
  <c r="A84" i="6" s="1"/>
  <c r="B67" i="4"/>
  <c r="A51" i="6" s="1"/>
  <c r="B79" i="4"/>
  <c r="A62" i="6" s="1"/>
  <c r="B91" i="4"/>
  <c r="A73" i="6" s="1"/>
  <c r="B121" i="4"/>
  <c r="A99" i="6" s="1"/>
  <c r="B135" i="4"/>
  <c r="A110" i="6" s="1"/>
  <c r="B115" i="4"/>
  <c r="A94" i="6" s="1"/>
  <c r="B133" i="4"/>
  <c r="A109" i="6" s="1"/>
  <c r="B131" i="4"/>
  <c r="A108" i="6" s="1"/>
  <c r="B119" i="4"/>
  <c r="A97" i="6" s="1"/>
  <c r="B117" i="4"/>
  <c r="A95" i="6" s="1"/>
  <c r="B137" i="4"/>
  <c r="A111" i="6" s="1"/>
  <c r="B120" i="4"/>
  <c r="A98" i="6" s="1"/>
  <c r="B90" i="4"/>
  <c r="A72" i="6" s="1"/>
  <c r="B78" i="4"/>
  <c r="A61" i="6" s="1"/>
  <c r="B102" i="4"/>
  <c r="A83" i="6" s="1"/>
  <c r="B54" i="4"/>
  <c r="A39" i="6" s="1"/>
  <c r="B66" i="4"/>
  <c r="A50" i="6" s="1"/>
  <c r="P44" i="4"/>
  <c r="B44" i="4" s="1"/>
  <c r="A30" i="6" s="1"/>
  <c r="P56" i="4"/>
  <c r="B34" i="4"/>
  <c r="A118" i="6"/>
  <c r="G118" i="6" s="1"/>
  <c r="O33" i="4"/>
  <c r="A20" i="6"/>
  <c r="C18" i="6"/>
  <c r="D18" i="6"/>
  <c r="F41" i="6"/>
  <c r="F30" i="6"/>
  <c r="H30" i="6" s="1"/>
  <c r="F19" i="6"/>
  <c r="H19" i="6" s="1"/>
  <c r="F115" i="6"/>
  <c r="H115" i="6" s="1"/>
  <c r="F51" i="6"/>
  <c r="H40" i="6"/>
  <c r="F99" i="6"/>
  <c r="H99" i="6" s="1"/>
  <c r="C29" i="6"/>
  <c r="K115" i="6"/>
  <c r="D29" i="6"/>
  <c r="D17" i="6"/>
  <c r="C17" i="6"/>
  <c r="AA17" i="4" a="1"/>
  <c r="AA17" i="4" s="1"/>
  <c r="D28" i="6"/>
  <c r="K114" i="6"/>
  <c r="C28" i="6"/>
  <c r="F114" i="6"/>
  <c r="F50" i="6"/>
  <c r="F98" i="6"/>
  <c r="H98" i="6" s="1"/>
  <c r="H39" i="6"/>
  <c r="D99" i="6" l="1"/>
  <c r="C99" i="6"/>
  <c r="C40" i="6"/>
  <c r="D40" i="6"/>
  <c r="H51" i="6"/>
  <c r="F62" i="6"/>
  <c r="D115" i="6"/>
  <c r="C115" i="6"/>
  <c r="F42" i="6"/>
  <c r="F20" i="6"/>
  <c r="H20" i="6" s="1"/>
  <c r="F31" i="6"/>
  <c r="H31" i="6" s="1"/>
  <c r="D98" i="6"/>
  <c r="C98" i="6"/>
  <c r="P57" i="4"/>
  <c r="P45" i="4"/>
  <c r="B45" i="4" s="1"/>
  <c r="A31" i="6" s="1"/>
  <c r="A21" i="6"/>
  <c r="O34" i="4"/>
  <c r="F61" i="6"/>
  <c r="H50" i="6"/>
  <c r="AA18" i="4" a="1"/>
  <c r="AA18" i="4" s="1"/>
  <c r="B2" i="6"/>
  <c r="H114" i="6"/>
  <c r="D19" i="6"/>
  <c r="C19" i="6"/>
  <c r="B80" i="4"/>
  <c r="A63" i="6" s="1"/>
  <c r="B56" i="4"/>
  <c r="A41" i="6" s="1"/>
  <c r="B68" i="4"/>
  <c r="A52" i="6" s="1"/>
  <c r="B92" i="4"/>
  <c r="A74" i="6" s="1"/>
  <c r="B122" i="4"/>
  <c r="A100" i="6" s="1"/>
  <c r="B104" i="4"/>
  <c r="A85" i="6" s="1"/>
  <c r="F100" i="6"/>
  <c r="H100" i="6" s="1"/>
  <c r="F52" i="6"/>
  <c r="H41" i="6"/>
  <c r="F116" i="6"/>
  <c r="H116" i="6" s="1"/>
  <c r="B35" i="4"/>
  <c r="A119" i="6"/>
  <c r="G119" i="6" s="1"/>
  <c r="D39" i="6"/>
  <c r="C39" i="6"/>
  <c r="D30" i="6"/>
  <c r="K116" i="6"/>
  <c r="C30" i="6"/>
  <c r="C114" i="6" l="1"/>
  <c r="D114" i="6"/>
  <c r="B69" i="4"/>
  <c r="A53" i="6" s="1"/>
  <c r="B93" i="4"/>
  <c r="A75" i="6" s="1"/>
  <c r="B57" i="4"/>
  <c r="A42" i="6" s="1"/>
  <c r="B81" i="4"/>
  <c r="A64" i="6" s="1"/>
  <c r="B123" i="4"/>
  <c r="A101" i="6" s="1"/>
  <c r="B105" i="4"/>
  <c r="A86" i="6" s="1"/>
  <c r="H62" i="6"/>
  <c r="F73" i="6"/>
  <c r="O35" i="4"/>
  <c r="A22" i="6"/>
  <c r="C51" i="6"/>
  <c r="D51" i="6"/>
  <c r="A120" i="6"/>
  <c r="B36" i="4"/>
  <c r="D100" i="6"/>
  <c r="C100" i="6"/>
  <c r="D116" i="6"/>
  <c r="C116" i="6"/>
  <c r="D50" i="6"/>
  <c r="C50" i="6"/>
  <c r="K117" i="6"/>
  <c r="C31" i="6"/>
  <c r="D31" i="6"/>
  <c r="D41" i="6"/>
  <c r="C41" i="6"/>
  <c r="F72" i="6"/>
  <c r="H61" i="6"/>
  <c r="D20" i="6"/>
  <c r="C20" i="6"/>
  <c r="F43" i="6"/>
  <c r="F32" i="6"/>
  <c r="H32" i="6" s="1"/>
  <c r="F21" i="6"/>
  <c r="H21" i="6" s="1"/>
  <c r="H52" i="6"/>
  <c r="F63" i="6"/>
  <c r="P46" i="4"/>
  <c r="B46" i="4" s="1"/>
  <c r="A32" i="6" s="1"/>
  <c r="P58" i="4"/>
  <c r="F117" i="6"/>
  <c r="H117" i="6" s="1"/>
  <c r="H42" i="6"/>
  <c r="F53" i="6"/>
  <c r="F101" i="6"/>
  <c r="H101" i="6" s="1"/>
  <c r="AA19" i="4" a="1"/>
  <c r="AA19" i="4" s="1"/>
  <c r="F118" i="6" l="1"/>
  <c r="H118" i="6" s="1"/>
  <c r="H43" i="6"/>
  <c r="F54" i="6"/>
  <c r="F102" i="6"/>
  <c r="H102" i="6" s="1"/>
  <c r="H53" i="6"/>
  <c r="F64" i="6"/>
  <c r="K118" i="6"/>
  <c r="D32" i="6"/>
  <c r="C32" i="6"/>
  <c r="C42" i="6"/>
  <c r="D42" i="6"/>
  <c r="D117" i="6"/>
  <c r="C117" i="6"/>
  <c r="O36" i="4"/>
  <c r="A23" i="6"/>
  <c r="D61" i="6"/>
  <c r="C61" i="6"/>
  <c r="F33" i="6"/>
  <c r="H33" i="6" s="1"/>
  <c r="F22" i="6"/>
  <c r="H22" i="6" s="1"/>
  <c r="F44" i="6"/>
  <c r="B82" i="4"/>
  <c r="A65" i="6" s="1"/>
  <c r="B94" i="4"/>
  <c r="A76" i="6" s="1"/>
  <c r="B70" i="4"/>
  <c r="A54" i="6" s="1"/>
  <c r="B106" i="4"/>
  <c r="A87" i="6" s="1"/>
  <c r="B124" i="4"/>
  <c r="A102" i="6" s="1"/>
  <c r="B58" i="4"/>
  <c r="A43" i="6" s="1"/>
  <c r="H63" i="6"/>
  <c r="F74" i="6"/>
  <c r="H72" i="6"/>
  <c r="F83" i="6"/>
  <c r="H83" i="6" s="1"/>
  <c r="P59" i="4"/>
  <c r="P47" i="4"/>
  <c r="B47" i="4" s="1"/>
  <c r="A33" i="6" s="1"/>
  <c r="D52" i="6"/>
  <c r="C52" i="6"/>
  <c r="H73" i="6"/>
  <c r="F84" i="6"/>
  <c r="H84" i="6" s="1"/>
  <c r="A121" i="6"/>
  <c r="B37" i="4"/>
  <c r="AA20" i="4" a="1"/>
  <c r="AA20" i="4" s="1"/>
  <c r="D101" i="6"/>
  <c r="C101" i="6"/>
  <c r="D21" i="6"/>
  <c r="C21" i="6"/>
  <c r="D62" i="6"/>
  <c r="C62" i="6"/>
  <c r="D83" i="6" l="1"/>
  <c r="C83" i="6"/>
  <c r="O37" i="4"/>
  <c r="A24" i="6"/>
  <c r="D72" i="6"/>
  <c r="C72" i="6"/>
  <c r="P48" i="4"/>
  <c r="B48" i="4" s="1"/>
  <c r="A34" i="6" s="1"/>
  <c r="P60" i="4"/>
  <c r="F75" i="6"/>
  <c r="H64" i="6"/>
  <c r="B38" i="4"/>
  <c r="A122" i="6"/>
  <c r="AA21" i="4" a="1"/>
  <c r="AA21" i="4" s="1"/>
  <c r="D84" i="6"/>
  <c r="C84" i="6"/>
  <c r="H74" i="6"/>
  <c r="F85" i="6"/>
  <c r="H85" i="6" s="1"/>
  <c r="D53" i="6"/>
  <c r="C53" i="6"/>
  <c r="B71" i="4"/>
  <c r="A55" i="6" s="1"/>
  <c r="B95" i="4"/>
  <c r="A77" i="6" s="1"/>
  <c r="B107" i="4"/>
  <c r="A88" i="6" s="1"/>
  <c r="B83" i="4"/>
  <c r="A66" i="6" s="1"/>
  <c r="B59" i="4"/>
  <c r="A44" i="6" s="1"/>
  <c r="B125" i="4"/>
  <c r="A103" i="6" s="1"/>
  <c r="D73" i="6"/>
  <c r="C73" i="6"/>
  <c r="C63" i="6"/>
  <c r="D63" i="6"/>
  <c r="F55" i="6"/>
  <c r="H44" i="6"/>
  <c r="F103" i="6"/>
  <c r="H103" i="6" s="1"/>
  <c r="F119" i="6"/>
  <c r="H119" i="6" s="1"/>
  <c r="D102" i="6"/>
  <c r="C102" i="6"/>
  <c r="F94" i="6"/>
  <c r="D22" i="6"/>
  <c r="C22" i="6"/>
  <c r="H54" i="6"/>
  <c r="F65" i="6"/>
  <c r="K119" i="6"/>
  <c r="C33" i="6"/>
  <c r="D33" i="6"/>
  <c r="C43" i="6"/>
  <c r="D43" i="6"/>
  <c r="D118" i="6"/>
  <c r="C118" i="6"/>
  <c r="D85" i="6" l="1"/>
  <c r="C85" i="6"/>
  <c r="B108" i="4"/>
  <c r="A89" i="6" s="1"/>
  <c r="B72" i="4"/>
  <c r="A56" i="6" s="1"/>
  <c r="B60" i="4"/>
  <c r="A45" i="6" s="1"/>
  <c r="B126" i="4"/>
  <c r="A104" i="6" s="1"/>
  <c r="B84" i="4"/>
  <c r="A67" i="6" s="1"/>
  <c r="B96" i="4"/>
  <c r="A78" i="6" s="1"/>
  <c r="D119" i="6"/>
  <c r="C119" i="6"/>
  <c r="C74" i="6"/>
  <c r="D74" i="6"/>
  <c r="D54" i="6"/>
  <c r="C54" i="6"/>
  <c r="A123" i="6"/>
  <c r="B39" i="4"/>
  <c r="AA22" i="4"/>
  <c r="AA23" i="4" s="1"/>
  <c r="O38" i="4"/>
  <c r="A25" i="6"/>
  <c r="P61" i="4"/>
  <c r="P49" i="4"/>
  <c r="B49" i="4" s="1"/>
  <c r="A35" i="6" s="1"/>
  <c r="H65" i="6"/>
  <c r="F76" i="6"/>
  <c r="F95" i="6"/>
  <c r="F109" i="6"/>
  <c r="H109" i="6" s="1"/>
  <c r="F108" i="6"/>
  <c r="H108" i="6" s="1"/>
  <c r="F111" i="6"/>
  <c r="H111" i="6" s="1"/>
  <c r="F110" i="6"/>
  <c r="H110" i="6" s="1"/>
  <c r="H94" i="6"/>
  <c r="D64" i="6"/>
  <c r="C64" i="6"/>
  <c r="D103" i="6"/>
  <c r="C103" i="6"/>
  <c r="C44" i="6"/>
  <c r="D44" i="6"/>
  <c r="F66" i="6"/>
  <c r="H55" i="6"/>
  <c r="H75" i="6"/>
  <c r="F86" i="6"/>
  <c r="H86" i="6" s="1"/>
  <c r="Q41" i="4" l="1"/>
  <c r="B41" i="4" s="1"/>
  <c r="A27" i="6" s="1"/>
  <c r="Q53" i="4"/>
  <c r="D109" i="6"/>
  <c r="C109" i="6"/>
  <c r="H95" i="6"/>
  <c r="F96" i="6"/>
  <c r="H96" i="6" s="1"/>
  <c r="D75" i="6"/>
  <c r="C75" i="6"/>
  <c r="D86" i="6"/>
  <c r="C86" i="6"/>
  <c r="D65" i="6"/>
  <c r="C65" i="6"/>
  <c r="D55" i="6"/>
  <c r="C55" i="6"/>
  <c r="B97" i="4"/>
  <c r="A79" i="6" s="1"/>
  <c r="B127" i="4"/>
  <c r="A105" i="6" s="1"/>
  <c r="B73" i="4"/>
  <c r="A57" i="6" s="1"/>
  <c r="B85" i="4"/>
  <c r="A68" i="6" s="1"/>
  <c r="B61" i="4"/>
  <c r="A46" i="6" s="1"/>
  <c r="B109" i="4"/>
  <c r="A90" i="6" s="1"/>
  <c r="A26" i="6"/>
  <c r="O39" i="4"/>
  <c r="D110" i="6"/>
  <c r="C110" i="6"/>
  <c r="D111" i="6"/>
  <c r="C111" i="6"/>
  <c r="H76" i="6"/>
  <c r="F87" i="6"/>
  <c r="H87" i="6" s="1"/>
  <c r="H66" i="6"/>
  <c r="F77" i="6"/>
  <c r="D94" i="6"/>
  <c r="C94" i="6"/>
  <c r="C108" i="6"/>
  <c r="D108" i="6"/>
  <c r="P62" i="4"/>
  <c r="P50" i="4"/>
  <c r="B50" i="4" s="1"/>
  <c r="A36" i="6" s="1"/>
  <c r="H77" i="6" l="1"/>
  <c r="F88" i="6"/>
  <c r="H88" i="6" s="1"/>
  <c r="D66" i="6"/>
  <c r="C66" i="6"/>
  <c r="P63" i="4"/>
  <c r="P51" i="4"/>
  <c r="B51" i="4" s="1"/>
  <c r="A37" i="6" s="1"/>
  <c r="C96" i="6"/>
  <c r="D96" i="6"/>
  <c r="D87" i="6"/>
  <c r="C87" i="6"/>
  <c r="C95" i="6"/>
  <c r="D95" i="6"/>
  <c r="C76" i="6"/>
  <c r="D76" i="6"/>
  <c r="B86" i="4"/>
  <c r="A69" i="6" s="1"/>
  <c r="B110" i="4"/>
  <c r="A91" i="6" s="1"/>
  <c r="B74" i="4"/>
  <c r="A58" i="6" s="1"/>
  <c r="B128" i="4"/>
  <c r="A106" i="6" s="1"/>
  <c r="B62" i="4"/>
  <c r="A47" i="6" s="1"/>
  <c r="B98" i="4"/>
  <c r="A80" i="6" s="1"/>
  <c r="B65" i="4"/>
  <c r="A49" i="6" s="1"/>
  <c r="B101" i="4"/>
  <c r="A82" i="6" s="1"/>
  <c r="B53" i="4"/>
  <c r="A38" i="6" s="1"/>
  <c r="B89" i="4"/>
  <c r="A71" i="6" s="1"/>
  <c r="B77" i="4"/>
  <c r="A60" i="6" s="1"/>
  <c r="B111" i="4" l="1"/>
  <c r="A92" i="6" s="1"/>
  <c r="B75" i="4"/>
  <c r="A59" i="6" s="1"/>
  <c r="B87" i="4"/>
  <c r="A70" i="6" s="1"/>
  <c r="B63" i="4"/>
  <c r="A48" i="6" s="1"/>
  <c r="B129" i="4"/>
  <c r="A107" i="6" s="1"/>
  <c r="B99" i="4"/>
  <c r="A81" i="6" s="1"/>
  <c r="D88" i="6"/>
  <c r="C88" i="6"/>
  <c r="H125" i="6"/>
  <c r="D2" i="6" s="1"/>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<sst xmlns="http://schemas.openxmlformats.org/spreadsheetml/2006/main" count="28032" uniqueCount="20061">
  <si>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</si>
  <si>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</si>
  <si>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</si>
  <si>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</si>
  <si>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</si>
  <si>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</si>
  <si>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</si>
  <si>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</si>
  <si>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</si>
  <si>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</si>
  <si>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</si>
  <si>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</si>
  <si>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</si>
  <si>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</si>
  <si>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</si>
  <si>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</si>
  <si>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</si>
  <si>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</si>
  <si>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</si>
  <si>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</si>
  <si>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</si>
  <si>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</si>
  <si>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</si>
  <si>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</si>
  <si>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</si>
  <si>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</si>
  <si>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</si>
  <si>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</si>
  <si>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</si>
  <si>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</si>
  <si>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</si>
  <si>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</si>
  <si>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</si>
  <si>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</si>
  <si>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</si>
  <si>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</si>
  <si>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</si>
  <si>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</si>
  <si>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</si>
  <si>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</si>
  <si>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</si>
  <si>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</si>
  <si>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</si>
  <si>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</si>
  <si>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</si>
  <si>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</si>
  <si>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</si>
  <si>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</si>
  <si>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</si>
  <si>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</si>
  <si>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</si>
  <si>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</si>
  <si>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</si>
  <si>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</si>
  <si>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</si>
  <si>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</si>
  <si>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</si>
  <si>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</si>
  <si>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</si>
  <si>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</si>
  <si>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</si>
  <si>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</si>
  <si>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</si>
  <si>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</si>
  <si>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</si>
  <si>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</si>
  <si>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</si>
  <si>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</si>
  <si>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</si>
  <si>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</si>
  <si>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</si>
  <si>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</si>
  <si>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</si>
  <si>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</si>
  <si>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</si>
  <si>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</si>
  <si>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</si>
  <si>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</si>
  <si>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</si>
  <si>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</si>
  <si>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</si>
  <si>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</si>
  <si>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</si>
  <si>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</si>
  <si>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</si>
  <si>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</si>
  <si>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</si>
  <si>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</si>
  <si>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</si>
  <si>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</si>
  <si>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</si>
  <si>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</si>
  <si>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</si>
  <si>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</si>
  <si>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</si>
  <si>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</si>
  <si>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</si>
  <si>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</si>
  <si>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</si>
  <si>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</si>
  <si>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</si>
  <si>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</si>
  <si>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</si>
  <si>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</si>
  <si>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</si>
  <si>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</si>
  <si>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</si>
  <si>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</si>
  <si>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</si>
  <si>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</si>
  <si>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</si>
  <si>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</si>
  <si>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</si>
  <si>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</si>
  <si>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</si>
  <si>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</si>
  <si>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</si>
  <si>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</si>
  <si>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</si>
  <si>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</si>
  <si>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</si>
  <si>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</si>
  <si>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</si>
  <si>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</si>
  <si>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</si>
  <si>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</si>
  <si>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</si>
  <si>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</si>
  <si>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</si>
  <si>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</si>
  <si>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</si>
  <si>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</si>
  <si>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</si>
  <si>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</si>
  <si>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</si>
  <si>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</si>
  <si>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</si>
  <si>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</si>
  <si>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</si>
  <si>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</si>
  <si>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</si>
  <si>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</si>
  <si>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</si>
  <si>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</si>
  <si>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</si>
  <si>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</si>
  <si>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</si>
  <si>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</si>
  <si>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</si>
  <si>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</si>
  <si>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</si>
  <si>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</si>
  <si>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</si>
  <si>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</si>
  <si>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</si>
  <si>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</si>
  <si>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</si>
  <si>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</si>
  <si>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</si>
  <si>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</si>
  <si>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</si>
  <si>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</si>
  <si>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</si>
  <si>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</si>
  <si>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</si>
  <si>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</si>
  <si>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</si>
  <si>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</si>
  <si>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</si>
  <si>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</si>
  <si>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</si>
  <si>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</si>
  <si>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</si>
  <si>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</si>
  <si>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</si>
  <si>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</si>
  <si>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</si>
  <si>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</si>
  <si>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</si>
  <si>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</si>
  <si>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</si>
  <si>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</si>
  <si>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</si>
  <si>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</si>
  <si>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</si>
  <si>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</si>
  <si>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</si>
  <si>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</si>
  <si>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</si>
  <si>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</si>
  <si>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</si>
  <si>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</si>
  <si>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</si>
  <si>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</si>
  <si>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</si>
  <si>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</si>
  <si>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</si>
  <si>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</si>
  <si>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</si>
  <si>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</si>
  <si>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</si>
  <si>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</si>
  <si>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</si>
  <si>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</si>
  <si>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</si>
  <si>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</si>
  <si>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</si>
  <si>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</si>
  <si>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</si>
  <si>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</si>
  <si>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</si>
  <si>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</si>
  <si>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</si>
  <si>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</si>
  <si>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</si>
  <si>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</si>
  <si>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</si>
  <si>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</si>
  <si>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</si>
  <si>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</si>
  <si>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</si>
  <si>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</si>
  <si>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</si>
  <si>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</si>
  <si>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</si>
  <si>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</si>
  <si>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</si>
  <si>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</si>
  <si>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</si>
  <si>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</si>
  <si>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</si>
  <si>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</si>
  <si>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</si>
  <si>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</si>
  <si>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</si>
  <si>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</si>
  <si>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</si>
  <si>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</si>
  <si>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</si>
  <si>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</si>
  <si>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</si>
  <si>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</si>
  <si>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</si>
  <si>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</si>
  <si>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</si>
  <si>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</si>
  <si>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</si>
  <si>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</si>
  <si>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</si>
  <si>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</si>
  <si>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</si>
  <si>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</si>
  <si>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</si>
  <si>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</si>
  <si>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</si>
  <si>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</si>
  <si>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</si>
  <si>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</si>
  <si>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</si>
  <si>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</si>
  <si>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</si>
  <si>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</si>
  <si>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</si>
  <si>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</si>
  <si>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</si>
  <si>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</si>
  <si>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</si>
  <si>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</si>
  <si>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</si>
  <si>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</si>
  <si>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</si>
  <si>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</si>
  <si>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</si>
  <si>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</si>
  <si>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</si>
  <si>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</si>
  <si>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</si>
  <si>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</si>
  <si>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</si>
  <si>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</si>
  <si>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</si>
  <si>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</si>
  <si>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</si>
  <si>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</si>
  <si>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</si>
  <si>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</si>
  <si>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</si>
  <si>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</si>
  <si>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</si>
  <si>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</si>
  <si>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</si>
  <si>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</si>
  <si>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</si>
  <si>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</si>
  <si>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</si>
  <si>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</si>
  <si>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</si>
  <si>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</si>
  <si>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</si>
  <si>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</si>
  <si>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</si>
  <si>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</si>
  <si>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</si>
  <si>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</si>
  <si>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</si>
  <si>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</si>
  <si>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</si>
  <si>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</si>
  <si>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</si>
  <si>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</si>
  <si>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</si>
  <si>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</si>
  <si>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</si>
  <si>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</si>
  <si>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</si>
  <si>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</si>
  <si>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</si>
  <si>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</si>
  <si>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</si>
  <si>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</si>
  <si>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</si>
  <si>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</si>
  <si>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</si>
  <si>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</si>
  <si>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</si>
  <si>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</si>
  <si>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</si>
  <si>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</si>
  <si>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</si>
  <si>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</si>
  <si>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</si>
  <si>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</si>
  <si>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</si>
  <si>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</si>
  <si>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</si>
  <si>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</si>
  <si>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</si>
  <si>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</si>
  <si>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</si>
  <si>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</si>
  <si>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</si>
  <si>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</si>
  <si>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</si>
  <si>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</si>
  <si>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</si>
  <si>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</si>
  <si>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</si>
  <si>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</si>
  <si>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</si>
  <si>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</si>
  <si>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</si>
  <si>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</si>
  <si>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</si>
  <si>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</si>
  <si>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</si>
  <si>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</si>
  <si>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</si>
  <si>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</si>
  <si>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</si>
  <si>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</si>
  <si>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</si>
  <si>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</si>
  <si>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</si>
  <si>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</si>
  <si>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</si>
  <si>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</si>
  <si>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</si>
  <si>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</si>
  <si>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</si>
  <si>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</si>
  <si>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</si>
  <si>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</si>
  <si>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</si>
  <si>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</si>
  <si>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</si>
  <si>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</si>
  <si>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</si>
  <si>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</si>
  <si>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</si>
  <si>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</si>
  <si>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</si>
  <si>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</si>
  <si>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</si>
  <si>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</si>
  <si>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</si>
  <si>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</si>
  <si>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</si>
  <si>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</si>
  <si>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</si>
  <si>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</si>
  <si>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</si>
  <si>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</si>
  <si>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</si>
  <si>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</si>
  <si>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</si>
  <si>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</si>
  <si>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</si>
  <si>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</si>
  <si>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</si>
  <si>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</si>
  <si>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</si>
  <si>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</si>
  <si>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</si>
  <si>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</si>
  <si>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</si>
  <si>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</si>
  <si>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</si>
  <si>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</si>
  <si>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</si>
  <si>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</si>
  <si>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</si>
  <si>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</si>
  <si>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</si>
  <si>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</si>
  <si>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</si>
  <si>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</si>
  <si>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</si>
  <si>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</si>
  <si>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</si>
  <si>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</si>
  <si>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</si>
  <si>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</si>
  <si>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</si>
  <si>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</si>
  <si>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</si>
  <si>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</si>
  <si>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</si>
  <si>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</si>
  <si>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</si>
  <si>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</si>
  <si>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</si>
  <si>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</si>
  <si>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</si>
  <si>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</si>
  <si>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</si>
  <si>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</si>
  <si>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</si>
  <si>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</si>
  <si>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</si>
  <si>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</si>
  <si>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</si>
  <si>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</si>
  <si>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</si>
  <si>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</si>
  <si>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</si>
  <si>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</si>
  <si>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</si>
  <si>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</si>
  <si>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</si>
  <si>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</si>
  <si>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</si>
  <si>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</si>
  <si>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</si>
  <si>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</si>
  <si>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</si>
  <si>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</si>
  <si>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</si>
  <si>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</si>
  <si>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</si>
  <si>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</si>
  <si>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</si>
  <si>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</si>
  <si>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</si>
  <si>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</si>
  <si>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</si>
  <si>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</si>
  <si>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</si>
  <si>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</si>
  <si>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</si>
  <si>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</si>
  <si>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</si>
  <si>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</si>
  <si>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</si>
  <si>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</si>
  <si>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</si>
  <si>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</si>
  <si>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</si>
  <si>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</si>
  <si>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</si>
  <si>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</si>
  <si>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</si>
  <si>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</si>
  <si>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</si>
  <si>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</si>
  <si>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</si>
  <si>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</si>
  <si>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</si>
  <si>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</si>
  <si>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</si>
  <si>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</si>
  <si>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</si>
  <si>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</si>
  <si>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</si>
  <si>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</si>
  <si>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</si>
  <si>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</si>
  <si>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</si>
  <si>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</si>
  <si>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</si>
  <si>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</si>
  <si>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</si>
  <si>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</si>
  <si>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</si>
  <si>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</si>
  <si>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</si>
  <si>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</si>
  <si>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</si>
  <si>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</si>
  <si>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</si>
  <si>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</si>
  <si>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</si>
  <si>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</si>
  <si>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</si>
  <si>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</si>
  <si>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</si>
  <si>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</si>
  <si>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</si>
  <si>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</si>
  <si>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</si>
  <si>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</si>
  <si>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</si>
  <si>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</si>
  <si>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</si>
  <si>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</si>
  <si>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</si>
  <si>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</si>
  <si>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</si>
  <si>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</si>
  <si>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</si>
  <si>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</si>
  <si>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</si>
  <si>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</si>
  <si>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</si>
  <si>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</si>
  <si>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</si>
  <si>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</si>
  <si>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</si>
  <si>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</si>
  <si>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</si>
  <si>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</si>
  <si>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</si>
  <si>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</si>
  <si>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</si>
  <si>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</si>
  <si>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</si>
  <si>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</si>
  <si>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</si>
  <si>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</si>
  <si>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</si>
  <si>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</si>
  <si>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</si>
  <si>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</si>
  <si>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</si>
  <si>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</si>
  <si>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</si>
  <si>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</si>
  <si>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</si>
  <si>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</si>
  <si>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</si>
  <si>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</si>
  <si>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</si>
  <si>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</si>
  <si>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</si>
  <si>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</si>
  <si>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</si>
  <si>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</si>
  <si>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</si>
  <si>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</si>
  <si>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</si>
  <si>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</si>
  <si>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</si>
  <si>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</si>
  <si>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</si>
  <si>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</si>
  <si>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</si>
  <si>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</si>
  <si>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</si>
  <si>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</si>
  <si>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</si>
  <si>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</si>
  <si>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</si>
  <si>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</si>
  <si>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</si>
  <si>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</si>
  <si>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</si>
  <si>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</si>
  <si>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</si>
  <si>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</si>
  <si>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</si>
  <si>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</si>
  <si>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</si>
  <si>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</si>
  <si>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</si>
  <si>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</si>
  <si>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</si>
  <si>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</si>
  <si>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</si>
  <si>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</si>
  <si>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</si>
  <si>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</si>
  <si>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</si>
  <si>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</si>
  <si>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</si>
  <si>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</si>
  <si>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</si>
  <si>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</si>
  <si>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</si>
  <si>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</si>
  <si>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</si>
  <si>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</si>
  <si>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</si>
  <si>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</si>
  <si>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</si>
  <si>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</si>
  <si>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</si>
  <si>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</si>
  <si>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</si>
  <si>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</si>
  <si>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</si>
  <si>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</si>
  <si>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</si>
  <si>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</si>
  <si>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</si>
  <si>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</si>
  <si>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</si>
  <si>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</si>
  <si>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</si>
  <si>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</si>
  <si>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</si>
  <si>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</si>
  <si>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</si>
  <si>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</si>
  <si>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</si>
  <si>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</si>
  <si>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</si>
  <si>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</si>
  <si>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</si>
  <si>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</si>
  <si>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</si>
  <si>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</si>
  <si>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</si>
  <si>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</si>
  <si>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</si>
  <si>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</si>
  <si>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</si>
  <si>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</si>
  <si>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</si>
  <si>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</si>
  <si>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</si>
  <si>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</si>
  <si>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</si>
  <si>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</si>
  <si>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</si>
  <si>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</si>
  <si>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</si>
  <si>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</si>
  <si>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</si>
  <si>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</si>
  <si>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</si>
  <si>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</si>
  <si>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</si>
  <si>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</si>
  <si>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</si>
  <si>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</si>
  <si>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</si>
  <si>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</si>
  <si>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</si>
  <si>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</si>
  <si>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</si>
  <si>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</si>
  <si>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</si>
  <si>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</si>
  <si>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</si>
  <si>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</si>
  <si>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</si>
  <si>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</si>
  <si>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</si>
  <si>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</si>
  <si>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</si>
  <si>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</si>
  <si>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</si>
  <si>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</si>
  <si>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</si>
  <si>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</si>
  <si>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</si>
  <si>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</si>
  <si>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</si>
  <si>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</si>
  <si>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</si>
  <si>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</si>
  <si>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</si>
  <si>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</si>
  <si>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</si>
  <si>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</si>
  <si>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</si>
  <si>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</si>
  <si>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</si>
  <si>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</si>
  <si>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</si>
  <si>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</si>
  <si>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</si>
  <si>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</si>
  <si>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</si>
  <si>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</si>
  <si>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</si>
  <si>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</si>
  <si>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</si>
  <si>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</si>
  <si>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</si>
  <si>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</si>
  <si>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</si>
  <si>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</si>
  <si>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</si>
  <si>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</si>
  <si>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</si>
  <si>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</si>
  <si>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</si>
  <si>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</si>
  <si>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</si>
  <si>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</si>
  <si>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</si>
  <si>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</si>
  <si>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</si>
  <si>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</si>
  <si>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</si>
  <si>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</si>
  <si>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</si>
  <si>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</si>
  <si>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</si>
  <si>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</si>
  <si>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</si>
  <si>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</si>
  <si>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</si>
  <si>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</si>
  <si>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</si>
  <si>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</si>
  <si>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</si>
  <si>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</si>
  <si>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</si>
  <si>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</si>
  <si>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</si>
  <si>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</si>
  <si>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</si>
  <si>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</si>
  <si>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</si>
  <si>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</si>
  <si>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</si>
  <si>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</si>
  <si>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</si>
  <si>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</si>
  <si>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</si>
  <si>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</si>
  <si>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</si>
  <si>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</si>
  <si>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</si>
  <si>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</si>
  <si>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</si>
  <si>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</si>
  <si>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</si>
  <si>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</si>
  <si>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</si>
  <si>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</si>
  <si>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</si>
  <si>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</si>
  <si>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</si>
  <si>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</si>
  <si>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</si>
  <si>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</si>
  <si>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</si>
  <si>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</si>
  <si>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</si>
  <si>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</si>
  <si>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</si>
  <si>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</si>
  <si>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</si>
  <si>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</si>
  <si>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</si>
  <si>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</si>
  <si>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</si>
  <si>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</si>
  <si>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</si>
  <si>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</si>
  <si>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</si>
  <si>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</si>
  <si>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</si>
  <si>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</si>
  <si>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</si>
  <si>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</si>
  <si>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</si>
  <si>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</si>
  <si>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</si>
  <si>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</si>
  <si>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</si>
  <si>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</si>
  <si>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</si>
  <si>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</si>
  <si>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</si>
  <si>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</si>
  <si>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</si>
  <si>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</si>
  <si>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</si>
  <si>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</si>
  <si>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</si>
  <si>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</si>
  <si>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</si>
  <si>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</si>
  <si>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</si>
  <si>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</si>
  <si>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</si>
  <si>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</si>
  <si>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</si>
  <si>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</si>
  <si>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</si>
  <si>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</si>
  <si>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</si>
  <si>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</si>
  <si>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</si>
  <si>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</si>
  <si>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</si>
  <si>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</si>
  <si>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</si>
  <si>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</si>
  <si>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</si>
  <si>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</si>
  <si>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</si>
  <si>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</si>
  <si>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</si>
  <si>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</si>
  <si>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</si>
  <si>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</si>
  <si>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</si>
  <si>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</si>
  <si>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</si>
  <si>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</si>
  <si>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</si>
  <si>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</si>
  <si>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</si>
  <si>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</si>
  <si>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</si>
  <si>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</si>
  <si>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</si>
  <si>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</si>
  <si>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</si>
  <si>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</si>
  <si>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</si>
  <si>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</si>
  <si>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</si>
  <si>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</si>
  <si>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</si>
  <si>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</si>
  <si>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</si>
  <si>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</si>
  <si>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</si>
  <si>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</si>
  <si>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</si>
  <si>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</si>
  <si>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</si>
  <si>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</si>
  <si>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</si>
  <si>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</si>
  <si>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</si>
  <si>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</si>
  <si>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</si>
  <si>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</si>
  <si>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</si>
  <si>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</si>
  <si>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</si>
  <si>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</si>
  <si>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</si>
  <si>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</si>
  <si>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</si>
  <si>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</si>
  <si>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</si>
  <si>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</si>
  <si>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</si>
  <si>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</si>
  <si>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</si>
  <si>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</si>
  <si>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</si>
  <si>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</si>
  <si>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</si>
  <si>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</si>
  <si>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</si>
  <si>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</si>
  <si>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</si>
  <si>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</si>
  <si>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</si>
  <si>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</si>
  <si>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</si>
  <si>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</si>
  <si>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</si>
  <si>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</si>
  <si>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</si>
  <si>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</si>
  <si>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</si>
  <si>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</si>
  <si>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</si>
  <si>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</si>
  <si>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</si>
  <si>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</si>
  <si>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</si>
  <si>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</si>
  <si>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</si>
  <si>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</si>
  <si>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</si>
  <si>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</si>
  <si>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</si>
  <si>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</si>
  <si>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</si>
  <si>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</si>
  <si>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</si>
  <si>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</si>
  <si>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</si>
  <si>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</si>
  <si>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</si>
  <si>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</si>
  <si>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</si>
  <si>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</si>
  <si>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</si>
  <si>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</si>
  <si>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</si>
  <si>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</si>
  <si>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</si>
  <si>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</si>
  <si>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</si>
  <si>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</si>
  <si>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</si>
  <si>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</si>
  <si>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</si>
  <si>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</si>
  <si>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</si>
  <si>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</si>
  <si>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</si>
  <si>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</si>
  <si>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</si>
  <si>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</si>
  <si>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</si>
  <si>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</si>
  <si>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</si>
  <si>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</si>
  <si>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</si>
  <si>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</si>
  <si>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</si>
  <si>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</si>
  <si>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</si>
  <si>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</si>
  <si>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</si>
  <si>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</si>
  <si>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</si>
  <si>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</si>
  <si>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</si>
  <si>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</si>
  <si>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</si>
  <si>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</si>
  <si>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</si>
  <si>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</si>
  <si>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</si>
  <si>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</si>
  <si>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</si>
  <si>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</si>
  <si>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</si>
  <si>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</si>
  <si>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</si>
  <si>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</si>
  <si>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</si>
  <si>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</si>
  <si>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</si>
  <si>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</si>
  <si>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</si>
  <si>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</si>
  <si>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</si>
  <si>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</si>
  <si>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</si>
  <si>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</si>
  <si>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</si>
  <si>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</si>
  <si>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</si>
  <si>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</si>
  <si>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</si>
  <si>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</si>
  <si>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</si>
  <si>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</si>
  <si>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</si>
  <si>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</si>
  <si>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</si>
  <si>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</si>
  <si>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</si>
  <si>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</si>
  <si>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</si>
  <si>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</si>
  <si>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</si>
  <si>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</si>
  <si>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</si>
  <si>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</si>
  <si>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</si>
  <si>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</si>
  <si>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</si>
  <si>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</si>
  <si>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</si>
  <si>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</si>
  <si>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</si>
  <si>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</si>
  <si>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</si>
  <si>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</si>
  <si>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</si>
  <si>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</si>
  <si>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</si>
  <si>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</si>
  <si>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</si>
  <si>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</si>
  <si>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</si>
  <si>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</si>
  <si>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</si>
  <si>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</si>
  <si>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</si>
  <si>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</si>
  <si>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</si>
  <si>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</si>
  <si>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</si>
  <si>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</si>
  <si>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</si>
  <si>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</si>
  <si>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</si>
  <si>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</si>
  <si>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</si>
  <si>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</si>
  <si>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</si>
  <si>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</si>
  <si>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</si>
  <si>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</si>
  <si>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</si>
  <si>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</si>
  <si>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</si>
  <si>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</si>
  <si>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</si>
  <si>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</si>
  <si>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</si>
  <si>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</si>
  <si>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</si>
  <si>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</si>
  <si>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</si>
  <si>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</si>
  <si>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</si>
  <si>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</si>
  <si>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</si>
  <si>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</si>
  <si>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</si>
  <si>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</si>
  <si>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</si>
  <si>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</si>
  <si>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</si>
  <si>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</si>
  <si>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</si>
  <si>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</si>
  <si>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</si>
  <si>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</si>
  <si>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</si>
  <si>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</si>
  <si>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</si>
  <si>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</si>
  <si>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</si>
  <si>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</si>
  <si>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</si>
  <si>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</si>
  <si>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</si>
  <si>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</si>
  <si>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</si>
  <si>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</si>
  <si>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</si>
  <si>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</si>
  <si>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</si>
  <si>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</si>
  <si>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</si>
  <si>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</si>
  <si>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</si>
  <si>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</si>
  <si>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</si>
  <si>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</si>
  <si>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</si>
  <si>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</si>
  <si>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</si>
  <si>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</si>
  <si>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</si>
  <si>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</si>
  <si>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</si>
  <si>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</si>
  <si>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</si>
  <si>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</si>
  <si>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</si>
  <si>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</si>
  <si>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</si>
  <si>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</si>
  <si>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</si>
  <si>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</si>
  <si>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</si>
  <si>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</si>
  <si>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</si>
  <si>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</si>
  <si>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</si>
  <si>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</si>
  <si>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</si>
  <si>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</si>
  <si>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</si>
  <si>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</si>
  <si>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</si>
  <si>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</si>
  <si>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</si>
  <si>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</si>
  <si>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</si>
  <si>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</si>
  <si>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</si>
  <si>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</si>
  <si>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</si>
  <si>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</si>
  <si>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</si>
  <si>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</si>
  <si>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</si>
  <si>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</si>
  <si>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</si>
  <si>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</si>
  <si>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</si>
  <si>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</si>
  <si>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</si>
  <si>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</si>
  <si>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</si>
  <si>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</si>
  <si>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</si>
  <si>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</si>
  <si>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</si>
  <si>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</si>
  <si>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</si>
  <si>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</si>
  <si>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</si>
  <si>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</si>
  <si>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</si>
  <si>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</si>
  <si>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</si>
  <si>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</si>
  <si>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</si>
  <si>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</si>
  <si>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</si>
  <si>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</si>
  <si>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</si>
  <si>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</si>
  <si>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</si>
  <si>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</si>
  <si>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</si>
  <si>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</si>
  <si>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</si>
  <si>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</si>
  <si>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</si>
  <si>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</si>
  <si>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</si>
  <si>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</si>
  <si>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</si>
  <si>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</si>
  <si>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</si>
  <si>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</si>
  <si>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</si>
  <si>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</si>
  <si>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</si>
  <si>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</si>
  <si>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</si>
  <si>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</si>
  <si>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</si>
  <si>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</si>
  <si>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</si>
  <si>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</si>
  <si>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</si>
  <si>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</si>
  <si>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</si>
  <si>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</si>
  <si>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</si>
  <si>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</si>
  <si>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</si>
  <si>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</si>
  <si>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</si>
  <si>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</si>
  <si>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</si>
  <si>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</si>
  <si>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</si>
  <si>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</si>
  <si>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</si>
  <si>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</si>
  <si>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</si>
  <si>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</si>
  <si>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</si>
  <si>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</si>
  <si>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</si>
  <si>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</si>
  <si>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</si>
  <si>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</si>
  <si>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</si>
  <si>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</si>
  <si>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</si>
  <si>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</si>
  <si>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</si>
  <si>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</si>
  <si>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</si>
  <si>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</si>
  <si>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</si>
  <si>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</si>
  <si>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</si>
  <si>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</si>
  <si>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</si>
  <si>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</si>
  <si>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</si>
  <si>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</si>
  <si>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</si>
  <si>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</si>
  <si>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</si>
  <si>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</si>
  <si>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</si>
  <si>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</si>
  <si>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</si>
  <si>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</si>
  <si>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</si>
  <si>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</si>
  <si>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</si>
  <si>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</si>
  <si>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</si>
  <si>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</si>
  <si>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</si>
  <si>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</si>
  <si>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</si>
  <si>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</si>
  <si>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</si>
  <si>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</si>
  <si>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</si>
  <si>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</si>
  <si>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</si>
  <si>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</si>
  <si>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</si>
  <si>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</si>
  <si>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</si>
  <si>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</si>
  <si>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</si>
  <si>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</si>
  <si>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</si>
  <si>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</si>
  <si>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</si>
  <si>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</si>
  <si>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</si>
  <si>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</si>
  <si>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</si>
  <si>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</si>
  <si>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</si>
  <si>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</si>
  <si>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</si>
  <si>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</si>
  <si>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</si>
  <si>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</si>
  <si>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</si>
  <si>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</si>
  <si>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</si>
  <si>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</si>
  <si>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</si>
  <si>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</si>
  <si>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</si>
  <si>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</si>
  <si>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</si>
  <si>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</si>
  <si>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</si>
  <si>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</si>
  <si>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</si>
  <si>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</si>
  <si>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</si>
  <si>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</si>
  <si>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</si>
  <si>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</si>
  <si>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</si>
  <si>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</si>
  <si>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</si>
  <si>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</si>
  <si>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</si>
  <si>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</si>
  <si>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</si>
  <si>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</si>
  <si>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</si>
  <si>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</si>
  <si>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</si>
  <si>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</si>
  <si>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</si>
  <si>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</si>
  <si>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</si>
  <si>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</si>
  <si>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</si>
  <si>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</si>
  <si>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</si>
  <si>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</si>
  <si>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</si>
  <si>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</si>
  <si>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</si>
  <si>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</si>
  <si>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</si>
  <si>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</si>
  <si>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</si>
  <si>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</si>
  <si>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</si>
  <si>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</si>
  <si>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</si>
  <si>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</si>
  <si>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</si>
  <si>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</si>
  <si>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</si>
  <si>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</si>
  <si>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</si>
  <si>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</si>
  <si>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</si>
  <si>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</si>
  <si>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</si>
  <si>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</si>
  <si>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</si>
  <si>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</si>
  <si>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</si>
  <si>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</si>
  <si>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</si>
  <si>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</si>
  <si>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</si>
  <si>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</si>
  <si>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</si>
  <si>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</si>
  <si>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</si>
  <si>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</si>
  <si>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</si>
  <si>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</si>
  <si>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</si>
  <si>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</si>
  <si>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</si>
  <si>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</si>
  <si>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</si>
  <si>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</si>
  <si>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</si>
  <si>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</si>
  <si>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</si>
  <si>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</si>
  <si>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</si>
  <si>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</si>
  <si>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</si>
  <si>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</si>
  <si>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</si>
  <si>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</si>
  <si>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</si>
  <si>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</si>
  <si>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</si>
  <si>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</si>
  <si>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</si>
  <si>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</si>
  <si>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</si>
  <si>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</si>
  <si>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</si>
  <si>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</si>
  <si>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</si>
  <si>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</si>
  <si>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</si>
  <si>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</si>
  <si>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</si>
  <si>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</si>
  <si>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</si>
  <si>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</si>
  <si>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</si>
  <si>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</si>
  <si>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</si>
  <si>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</si>
  <si>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</si>
  <si>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</si>
  <si>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</si>
  <si>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</si>
  <si>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</si>
  <si>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</si>
  <si>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</si>
  <si>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</si>
  <si>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</si>
  <si>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</si>
  <si>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</si>
  <si>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</si>
  <si>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</si>
  <si>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</si>
  <si>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</si>
  <si>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</si>
  <si>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</si>
  <si>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</si>
  <si>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</si>
  <si>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</si>
  <si>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</si>
  <si>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</si>
  <si>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</si>
  <si>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</si>
  <si>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</si>
  <si>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</si>
  <si>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</si>
  <si>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</si>
  <si>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</si>
  <si>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</si>
  <si>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</si>
  <si>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</si>
  <si>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</si>
  <si>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</si>
  <si>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</si>
  <si>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</si>
  <si>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</si>
  <si>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</si>
  <si>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</si>
  <si>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</si>
  <si>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</si>
  <si>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</si>
  <si>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</si>
  <si>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</si>
  <si>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</si>
  <si>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</si>
  <si>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</si>
  <si>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</si>
  <si>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</si>
  <si>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</si>
  <si>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</si>
  <si>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</si>
  <si>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</si>
  <si>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</si>
  <si>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</si>
  <si>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</si>
  <si>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</si>
  <si>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</si>
  <si>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</si>
  <si>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</si>
  <si>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</si>
  <si>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</si>
  <si>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</si>
  <si>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</si>
  <si>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</si>
  <si>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</si>
  <si>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</si>
  <si>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</si>
  <si>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</si>
  <si>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</si>
  <si>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</si>
  <si>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</si>
  <si>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</si>
  <si>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</si>
  <si>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</si>
  <si>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</si>
  <si>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</si>
  <si>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</si>
  <si>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</si>
  <si>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</si>
  <si>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</si>
  <si>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</si>
  <si>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</si>
  <si>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</si>
  <si>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</si>
  <si>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</si>
  <si>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</si>
  <si>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</si>
  <si>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</si>
  <si>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</si>
  <si>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</si>
  <si>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</si>
  <si>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</si>
  <si>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</si>
  <si>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</si>
  <si>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</si>
  <si>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</si>
  <si>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</si>
  <si>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</si>
  <si>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</si>
  <si>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</si>
  <si>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</si>
  <si>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</si>
  <si>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</si>
  <si>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</si>
  <si>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</si>
  <si>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</si>
  <si>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</si>
  <si>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</si>
  <si>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</si>
  <si>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</si>
  <si>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</si>
  <si>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</si>
  <si>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</si>
  <si>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</si>
  <si>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</si>
  <si>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</si>
  <si>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</si>
  <si>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</si>
  <si>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</si>
  <si>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</si>
  <si>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</si>
  <si>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</si>
  <si>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</si>
  <si>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</si>
  <si>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</si>
  <si>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</si>
  <si>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</si>
  <si>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</si>
  <si>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</si>
  <si>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</si>
  <si>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</si>
  <si>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</si>
  <si>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</si>
  <si>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</si>
  <si>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</si>
  <si>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</si>
  <si>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</si>
  <si>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</si>
  <si>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</si>
  <si>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</si>
  <si>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</si>
  <si>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</si>
  <si>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</si>
  <si>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</si>
  <si>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</si>
  <si>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</si>
  <si>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</si>
  <si>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</si>
  <si>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</si>
  <si>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</si>
  <si>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</si>
  <si>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</si>
  <si>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</si>
  <si>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</si>
  <si>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</si>
  <si>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</si>
  <si>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</si>
  <si>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</si>
  <si>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</si>
  <si>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</si>
  <si>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</si>
  <si>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</si>
  <si>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</si>
  <si>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</si>
  <si>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</si>
  <si>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</si>
  <si>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</si>
  <si>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</si>
  <si>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</si>
  <si>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</si>
  <si>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</si>
  <si>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</si>
  <si>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</si>
  <si>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</si>
  <si>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</si>
  <si>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</si>
  <si>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</si>
  <si>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</si>
  <si>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</si>
  <si>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</si>
  <si>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</si>
  <si>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</si>
  <si>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</si>
  <si>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</si>
  <si>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</si>
  <si>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</si>
  <si>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</si>
  <si>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</si>
  <si>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</si>
  <si>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</si>
  <si>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</si>
  <si>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</si>
  <si>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</si>
  <si>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</si>
  <si>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</si>
  <si>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</si>
  <si>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</si>
  <si>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</si>
  <si>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</si>
  <si>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</si>
  <si>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</si>
  <si>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</si>
  <si>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</si>
  <si>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</si>
  <si>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</si>
  <si>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</si>
  <si>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</si>
  <si>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</si>
  <si>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</si>
  <si>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</si>
  <si>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</si>
  <si>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</si>
  <si>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</si>
  <si>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</si>
  <si>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</si>
  <si>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</si>
  <si>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</si>
  <si>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</si>
  <si>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</si>
  <si>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</si>
  <si>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</si>
  <si>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</si>
  <si>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</si>
  <si>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</si>
  <si>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</si>
  <si>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</si>
  <si>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</si>
  <si>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</si>
  <si>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</si>
  <si>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</si>
  <si>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</si>
  <si>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</si>
  <si>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</si>
  <si>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</si>
  <si>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</si>
  <si>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</si>
  <si>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</si>
  <si>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</si>
  <si>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</si>
  <si>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</si>
  <si>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</si>
  <si>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</si>
  <si>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</si>
  <si>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</si>
  <si>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</si>
  <si>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</si>
  <si>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</si>
  <si>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</si>
  <si>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</si>
  <si>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</si>
  <si>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</si>
  <si>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</si>
  <si>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</si>
  <si>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</si>
  <si>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</si>
  <si>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</si>
  <si>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</si>
  <si>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</si>
  <si>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</si>
  <si>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</si>
  <si>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</si>
  <si>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</si>
  <si>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</si>
  <si>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</si>
  <si>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</si>
  <si>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</si>
  <si>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</si>
  <si>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</si>
  <si>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</si>
  <si>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</si>
  <si>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</si>
  <si>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</si>
  <si>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</si>
  <si>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</si>
  <si>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</si>
  <si>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</si>
  <si>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</si>
  <si>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</si>
  <si>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</si>
  <si>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</si>
  <si>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</si>
  <si>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</si>
  <si>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</si>
  <si>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</si>
  <si>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</si>
  <si>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</si>
  <si>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</si>
  <si>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</si>
  <si>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</si>
  <si>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</si>
  <si>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</si>
  <si>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</si>
  <si>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</si>
  <si>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</si>
  <si>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</si>
  <si>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</si>
  <si>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</si>
  <si>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</si>
  <si>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</si>
  <si>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</si>
  <si>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</si>
  <si>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</si>
  <si>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</si>
  <si>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</si>
  <si>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</si>
  <si>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</si>
  <si>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</si>
  <si>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</si>
  <si>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</si>
  <si>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</si>
  <si>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</si>
  <si>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</si>
  <si>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</si>
  <si>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</si>
  <si>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</si>
  <si>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</si>
  <si>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</si>
  <si>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</si>
  <si>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</si>
  <si>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</si>
  <si>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</si>
  <si>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</si>
  <si>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</si>
  <si>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</si>
  <si>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</si>
  <si>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</si>
  <si>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</si>
  <si>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</si>
  <si>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</si>
  <si>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</si>
  <si>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</si>
  <si>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</si>
  <si>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</si>
  <si>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</si>
  <si>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</si>
  <si>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</si>
  <si>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</si>
  <si>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</si>
  <si>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</si>
  <si>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</si>
  <si>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</si>
  <si>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</si>
  <si>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</si>
  <si>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</si>
  <si>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</si>
  <si>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</si>
  <si>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</si>
  <si>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</si>
  <si>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</si>
  <si>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</si>
  <si>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</si>
  <si>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</si>
  <si>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</si>
  <si>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</si>
  <si>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</si>
  <si>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</si>
  <si>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</si>
  <si>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</si>
  <si>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</si>
  <si>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</si>
  <si>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</si>
  <si>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</si>
  <si>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</si>
  <si>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</si>
  <si>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</si>
  <si>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</si>
  <si>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</si>
  <si>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</si>
  <si>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</si>
  <si>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</si>
  <si>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</si>
  <si>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</si>
  <si>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</si>
  <si>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</si>
  <si>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</si>
  <si>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</si>
  <si>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</si>
  <si>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</si>
  <si>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</si>
  <si>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</si>
  <si>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</si>
  <si>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</si>
  <si>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</si>
  <si>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</si>
  <si>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</si>
  <si>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</si>
  <si>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</si>
  <si>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</si>
  <si>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</si>
  <si>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</si>
  <si>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</si>
  <si>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</si>
  <si>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</si>
  <si>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</si>
  <si>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</si>
  <si>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</si>
  <si>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</si>
  <si>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</si>
  <si>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</si>
  <si>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</si>
  <si>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</si>
  <si>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</si>
  <si>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</si>
  <si>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</si>
  <si>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</si>
  <si>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</si>
  <si>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</si>
  <si>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</si>
  <si>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</si>
  <si>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</si>
  <si>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</si>
  <si>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</si>
  <si>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</si>
  <si>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</si>
  <si>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</si>
  <si>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</si>
  <si>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</si>
  <si>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</si>
  <si>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</si>
  <si>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</si>
  <si>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</si>
  <si>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</si>
  <si>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</si>
  <si>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</si>
  <si>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</si>
  <si>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</si>
  <si>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</si>
  <si>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</si>
  <si>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</si>
  <si>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</si>
  <si>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</si>
  <si>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</si>
  <si>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</si>
  <si>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</si>
  <si>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</si>
  <si>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</si>
  <si>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</si>
  <si>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</si>
  <si>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</si>
  <si>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</si>
  <si>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</si>
  <si>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</si>
  <si>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</si>
  <si>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</si>
  <si>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</si>
  <si>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</si>
  <si>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</si>
  <si>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</si>
  <si>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</si>
  <si>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</si>
  <si>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</si>
  <si>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</si>
  <si>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</si>
  <si>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</si>
  <si>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</si>
  <si>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</si>
  <si>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</si>
  <si>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</si>
  <si>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</si>
  <si>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</si>
  <si>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</si>
  <si>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</si>
  <si>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</si>
  <si>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</si>
  <si>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</si>
  <si>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</si>
  <si>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</si>
  <si>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</si>
  <si>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</si>
  <si>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</si>
  <si>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</si>
  <si>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</si>
  <si>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</si>
  <si>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</si>
  <si>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</si>
  <si>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</si>
  <si>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</si>
  <si>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</si>
  <si>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</si>
  <si>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</si>
  <si>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</si>
  <si>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</si>
  <si>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</si>
  <si>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</si>
  <si>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</si>
  <si>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</si>
  <si>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</si>
  <si>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</si>
  <si>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</si>
  <si>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</si>
  <si>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</si>
  <si>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</si>
  <si>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</si>
  <si>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</si>
  <si>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</si>
  <si>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</si>
  <si>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</si>
  <si>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</si>
  <si>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</si>
  <si>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</si>
  <si>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</si>
  <si>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</si>
  <si>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</si>
  <si>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</si>
  <si>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</si>
  <si>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</si>
  <si>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</si>
  <si>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</si>
  <si>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</si>
  <si>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</si>
  <si>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</si>
  <si>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</si>
  <si>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</si>
  <si>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</si>
  <si>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</si>
  <si>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</si>
  <si>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</si>
  <si>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</si>
  <si>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</si>
  <si>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</si>
  <si>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</si>
  <si>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</si>
  <si>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</si>
  <si>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</si>
  <si>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</si>
  <si>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</si>
  <si>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</si>
  <si>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</si>
  <si>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</si>
  <si>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</si>
  <si>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</si>
  <si>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</si>
  <si>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</si>
  <si>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</si>
  <si>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</si>
  <si>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</si>
  <si>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</si>
  <si>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</si>
  <si>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</si>
  <si>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</si>
  <si>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</si>
  <si>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</si>
  <si>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</si>
  <si>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</si>
  <si>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</si>
  <si>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</si>
  <si>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</si>
  <si>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</si>
  <si>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</si>
  <si>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</si>
  <si>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</si>
  <si>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</si>
  <si>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</si>
  <si>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</si>
  <si>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</si>
  <si>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</si>
  <si>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</si>
  <si>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</si>
  <si>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</si>
  <si>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</si>
  <si>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</si>
  <si>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</si>
  <si>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</si>
  <si>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</si>
  <si>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</si>
  <si>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</si>
  <si>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</si>
  <si>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</si>
  <si>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</si>
  <si>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</si>
  <si>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</si>
  <si>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</si>
  <si>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</si>
  <si>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</si>
  <si>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</si>
  <si>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</si>
  <si>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</si>
  <si>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</si>
  <si>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</si>
  <si>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</si>
  <si>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</si>
  <si>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</si>
  <si>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</si>
  <si>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</si>
  <si>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</si>
  <si>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</si>
  <si>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</si>
  <si>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</si>
  <si>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</si>
  <si>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</si>
  <si>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</si>
  <si>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</si>
  <si>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</si>
  <si>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</si>
  <si>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</si>
  <si>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</si>
  <si>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</si>
  <si>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</si>
  <si>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</si>
  <si>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</si>
  <si>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</si>
  <si>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</si>
  <si>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</si>
  <si>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</si>
  <si>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</si>
  <si>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</si>
  <si>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</si>
  <si>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</si>
  <si>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</si>
  <si>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</si>
  <si>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</si>
  <si>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</si>
  <si>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</si>
  <si>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</si>
  <si>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</si>
  <si>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</si>
  <si>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</si>
  <si>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</si>
  <si>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</si>
  <si>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</si>
  <si>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</si>
  <si>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</si>
  <si>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</si>
  <si>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</si>
  <si>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</si>
  <si>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</si>
  <si>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</si>
  <si>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</si>
  <si>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</si>
  <si>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</si>
  <si>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</si>
  <si>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</si>
  <si>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</si>
  <si>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</si>
  <si>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</si>
  <si>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</si>
  <si>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</si>
  <si>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</si>
  <si>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</si>
  <si>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</si>
  <si>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</si>
  <si>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</si>
  <si>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</si>
  <si>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</si>
  <si>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</si>
  <si>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</si>
  <si>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</si>
  <si>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</si>
  <si>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</si>
  <si>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</si>
  <si>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</si>
  <si>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</si>
  <si>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</si>
  <si>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</si>
  <si>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</si>
  <si>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</si>
  <si>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</si>
  <si>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</si>
  <si>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</si>
  <si>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</si>
  <si>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</si>
  <si>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</si>
  <si>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</si>
  <si>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</si>
  <si>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</si>
  <si>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</si>
  <si>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</si>
  <si>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</si>
  <si>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</si>
  <si>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</si>
  <si>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</si>
  <si>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</si>
  <si>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</si>
  <si>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</si>
  <si>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</si>
  <si>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</si>
  <si>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</si>
  <si>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</si>
  <si>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</si>
  <si>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</si>
  <si>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</si>
  <si>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</si>
  <si>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</si>
  <si>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</si>
  <si>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</si>
  <si>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</si>
  <si>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</si>
  <si>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</si>
  <si>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</si>
  <si>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</si>
  <si>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</si>
  <si>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</si>
  <si>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</si>
  <si>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</si>
  <si>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</si>
  <si>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</si>
  <si>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</si>
  <si>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</si>
  <si>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</si>
  <si>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</si>
  <si>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</si>
  <si>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</si>
  <si>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</si>
  <si>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</si>
  <si>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</si>
  <si>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</si>
  <si>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</si>
  <si>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</si>
  <si>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</si>
  <si>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</si>
  <si>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</si>
  <si>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</si>
  <si>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</si>
  <si>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</si>
  <si>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</si>
  <si>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</si>
  <si>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</si>
  <si>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</si>
  <si>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</si>
  <si>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</si>
  <si>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</si>
  <si>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</si>
  <si>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</si>
  <si>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</si>
  <si>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</si>
  <si>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</si>
  <si>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</si>
  <si>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</si>
  <si>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</si>
  <si>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</si>
  <si>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</si>
  <si>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</si>
  <si>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</si>
  <si>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</si>
  <si>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</si>
  <si>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</si>
  <si>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</si>
  <si>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</si>
  <si>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</si>
  <si>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</si>
  <si>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</si>
  <si>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</si>
  <si>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</si>
  <si>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</si>
  <si>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</si>
  <si>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</si>
  <si>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</si>
  <si>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</si>
  <si>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</si>
  <si>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</si>
  <si>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</si>
  <si>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</si>
  <si>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</si>
  <si>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</si>
  <si>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</si>
  <si>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</si>
  <si>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</si>
  <si>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</si>
  <si>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</si>
  <si>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</si>
  <si>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</si>
  <si>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</si>
  <si>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</si>
  <si>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</si>
  <si>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</si>
  <si>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</si>
  <si>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</si>
  <si>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</si>
  <si>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</si>
  <si>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</si>
  <si>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</si>
  <si>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</si>
  <si>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</si>
  <si>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</si>
  <si>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</si>
  <si>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</si>
  <si>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</si>
  <si>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</si>
  <si>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</si>
  <si>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</si>
  <si>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</si>
  <si>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</si>
  <si>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</si>
  <si>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</si>
  <si>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</si>
  <si>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</si>
  <si>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</si>
  <si>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</si>
  <si>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</si>
  <si>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</si>
  <si>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</si>
  <si>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</si>
  <si>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</si>
  <si>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</si>
  <si>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</si>
  <si>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</si>
  <si>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</si>
  <si>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</si>
  <si>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</si>
  <si>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</si>
  <si>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</si>
  <si>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</si>
  <si>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</si>
  <si>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</si>
  <si>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</si>
  <si>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</si>
  <si>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</si>
  <si>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</si>
  <si>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</si>
  <si>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</si>
  <si>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</si>
  <si>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</si>
  <si>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</si>
  <si>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</si>
  <si>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</si>
  <si>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</si>
  <si>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</si>
  <si>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</si>
  <si>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</si>
  <si>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</si>
  <si>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</si>
  <si>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</si>
  <si>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</si>
  <si>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</si>
  <si>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</si>
  <si>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</si>
  <si>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</si>
  <si>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</si>
  <si>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</si>
  <si>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</si>
  <si>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</si>
  <si>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</si>
  <si>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</si>
  <si>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</si>
  <si>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</si>
  <si>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</si>
  <si>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</si>
  <si>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</si>
  <si>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</si>
  <si>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</si>
  <si>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</si>
  <si>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</si>
  <si>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</si>
  <si>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</si>
  <si>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</si>
  <si>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</si>
  <si>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</si>
  <si>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</si>
  <si>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</si>
  <si>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</si>
  <si>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</si>
  <si>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</si>
  <si>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</si>
  <si>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</si>
  <si>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</si>
  <si>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</si>
  <si>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</si>
  <si>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</si>
  <si>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</si>
  <si>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</si>
  <si>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</si>
  <si>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</si>
  <si>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</si>
  <si>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</si>
  <si>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</si>
  <si>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</si>
  <si>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</si>
  <si>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</si>
  <si>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</si>
  <si>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</si>
  <si>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</si>
  <si>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</si>
  <si>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</si>
  <si>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</si>
  <si>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</si>
  <si>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</si>
  <si>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</si>
  <si>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</si>
  <si>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</si>
  <si>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</si>
  <si>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</si>
  <si>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</si>
  <si>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</si>
  <si>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</si>
  <si>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</si>
  <si>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</si>
  <si>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</si>
  <si>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</si>
  <si>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</si>
  <si>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</si>
  <si>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</si>
  <si>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</si>
  <si>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</si>
  <si>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</si>
  <si>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</si>
  <si>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</si>
  <si>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</si>
  <si>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</si>
  <si>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</si>
  <si>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</si>
  <si>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</si>
  <si>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</si>
  <si>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</si>
  <si>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</si>
  <si>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</si>
  <si>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</si>
  <si>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</si>
  <si>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</si>
  <si>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</si>
  <si>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</si>
  <si>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</si>
  <si>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</si>
  <si>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</si>
  <si>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</si>
  <si>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</si>
  <si>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</si>
  <si>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</si>
  <si>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</si>
  <si>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</si>
  <si>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</si>
  <si>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</si>
  <si>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</si>
  <si>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</si>
  <si>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</si>
  <si>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</si>
  <si>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</si>
  <si>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</si>
  <si>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</si>
  <si>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</si>
  <si>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</si>
  <si>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</si>
  <si>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</si>
  <si>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</si>
  <si>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</si>
  <si>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</si>
  <si>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</si>
  <si>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</si>
  <si>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</si>
  <si>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</si>
  <si>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</si>
  <si>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</si>
  <si>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</si>
  <si>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</si>
  <si>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</si>
  <si>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</si>
  <si>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</si>
  <si>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</si>
  <si>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</si>
  <si>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</si>
  <si>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</si>
  <si>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</si>
  <si>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</si>
  <si>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</si>
  <si>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</si>
  <si>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</si>
  <si>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</si>
  <si>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</si>
  <si>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</si>
  <si>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</si>
  <si>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</si>
  <si>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</si>
  <si>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</si>
  <si>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</si>
  <si>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</si>
  <si>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</si>
  <si>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</si>
  <si>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</si>
  <si>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</si>
  <si>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</si>
  <si>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</si>
  <si>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</si>
  <si>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</si>
  <si>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</si>
  <si>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</si>
  <si>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</si>
  <si>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</si>
  <si>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</si>
  <si>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</si>
  <si>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</si>
  <si>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</si>
  <si>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</si>
  <si>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</si>
  <si>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</si>
  <si>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</si>
  <si>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</si>
  <si>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</si>
  <si>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</si>
  <si>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</si>
  <si>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</si>
  <si>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</si>
  <si>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</si>
  <si>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</si>
  <si>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</si>
  <si>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</si>
  <si>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</si>
  <si>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</si>
  <si>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</si>
  <si>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</si>
  <si>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</si>
  <si>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</si>
  <si>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</si>
  <si>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</si>
  <si>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</si>
  <si>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</si>
  <si>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</si>
  <si>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</si>
  <si>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</si>
  <si>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</si>
  <si>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</si>
  <si>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</si>
  <si>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</si>
  <si>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</si>
  <si>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</si>
  <si>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</si>
  <si>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</si>
  <si>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</si>
  <si>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</si>
  <si>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</si>
  <si>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</si>
  <si>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</si>
  <si>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</si>
  <si>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</si>
  <si>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</si>
  <si>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</si>
  <si>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</si>
  <si>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</si>
  <si>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</si>
  <si>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</si>
  <si>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</si>
  <si>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</si>
  <si>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</si>
  <si>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</si>
  <si>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</si>
  <si>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</si>
  <si>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</si>
  <si>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</si>
  <si>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</si>
  <si>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</si>
  <si>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</si>
  <si>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</si>
  <si>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</si>
  <si>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</si>
  <si>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</si>
  <si>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</si>
  <si>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</si>
  <si>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</si>
  <si>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</si>
  <si>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</si>
  <si>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</si>
  <si>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</si>
  <si>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</si>
  <si>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</si>
  <si>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</si>
  <si>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</si>
  <si>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</si>
  <si>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</si>
  <si>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</si>
  <si>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</si>
  <si>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</si>
  <si>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</si>
  <si>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</si>
  <si>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</si>
  <si>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</si>
  <si>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</si>
  <si>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</si>
  <si>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</si>
  <si>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</si>
  <si>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</si>
  <si>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</si>
  <si>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</si>
  <si>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</si>
  <si>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</si>
  <si>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</si>
  <si>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</si>
  <si>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</si>
  <si>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</si>
  <si>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</si>
  <si>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</si>
  <si>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</si>
  <si>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</si>
  <si>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</si>
  <si>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</si>
  <si>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</si>
  <si>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</si>
  <si>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</si>
  <si>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</si>
  <si>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</si>
  <si>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</si>
  <si>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</si>
  <si>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</si>
  <si>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</si>
  <si>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</si>
  <si>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</si>
  <si>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</si>
  <si>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</si>
  <si>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</si>
  <si>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</si>
  <si>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</si>
  <si>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</si>
  <si>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</si>
  <si>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</si>
  <si>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</si>
  <si>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</si>
  <si>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</si>
  <si>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</si>
  <si>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</si>
  <si>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</si>
  <si>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</si>
  <si>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</si>
  <si>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</si>
  <si>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</si>
  <si>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</si>
  <si>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</si>
  <si>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</si>
  <si>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</si>
  <si>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</si>
  <si>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</si>
  <si>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</si>
  <si>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</si>
  <si>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</si>
  <si>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</si>
  <si>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</si>
  <si>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</si>
  <si>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</si>
  <si>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</si>
  <si>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</si>
  <si>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</si>
  <si>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</si>
  <si>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</si>
  <si>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</si>
  <si>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</si>
  <si>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</si>
  <si>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</si>
  <si>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</si>
  <si>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</si>
  <si>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</si>
  <si>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</si>
  <si>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</si>
  <si>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</si>
  <si>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</si>
  <si>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</si>
  <si>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</si>
  <si>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</si>
  <si>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</si>
  <si>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</si>
  <si>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</si>
  <si>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</si>
  <si>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</si>
  <si>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</si>
  <si>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</si>
  <si>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</si>
  <si>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</si>
  <si>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</si>
  <si>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</si>
  <si>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</si>
  <si>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</si>
  <si>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</si>
  <si>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</si>
  <si>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</si>
  <si>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</si>
  <si>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</si>
  <si>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</si>
  <si>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</si>
  <si>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</si>
  <si>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</si>
  <si>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</si>
  <si>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</si>
  <si>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</si>
  <si>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</si>
  <si>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</si>
  <si>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</si>
  <si>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</si>
  <si>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</si>
  <si>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</si>
  <si>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</si>
  <si>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</si>
  <si>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</si>
  <si>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</si>
  <si>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</si>
  <si>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</si>
  <si>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</si>
  <si>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</si>
  <si>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</si>
  <si>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</si>
  <si>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</si>
  <si>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</si>
  <si>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</si>
  <si>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</si>
  <si>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</si>
  <si>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</si>
  <si>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</si>
  <si>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</si>
  <si>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</si>
  <si>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</si>
  <si>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</si>
  <si>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</si>
  <si>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</si>
  <si>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</si>
  <si>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</si>
  <si>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</si>
  <si>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</si>
  <si>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</si>
  <si>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</si>
  <si>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</si>
  <si>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</si>
  <si>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</si>
  <si>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</si>
  <si>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</si>
  <si>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</si>
  <si>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</si>
  <si>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</si>
  <si>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</si>
  <si>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</si>
  <si>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</si>
  <si>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</si>
  <si>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</si>
  <si>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</si>
  <si>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</si>
  <si>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</si>
  <si>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</si>
  <si>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</si>
  <si>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</si>
  <si>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</si>
  <si>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</si>
  <si>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</si>
  <si>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</si>
  <si>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</si>
  <si>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</si>
  <si>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</si>
  <si>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</si>
  <si>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</si>
  <si>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</si>
  <si>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</si>
  <si>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</si>
  <si>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</si>
  <si>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</si>
  <si>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</si>
  <si>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</si>
  <si>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</si>
  <si>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</si>
  <si>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</si>
  <si>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</si>
  <si>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</si>
  <si>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</si>
  <si>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</si>
  <si>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</si>
  <si>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</si>
  <si>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</si>
  <si>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</si>
  <si>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</si>
  <si>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</si>
  <si>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</si>
  <si>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</si>
  <si>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</si>
  <si>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</si>
  <si>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</si>
  <si>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</si>
  <si>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</si>
  <si>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</si>
  <si>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</si>
  <si>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</si>
  <si>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</si>
  <si>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</si>
  <si>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</si>
  <si>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</si>
  <si>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</si>
  <si>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</si>
  <si>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</si>
  <si>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</si>
  <si>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</si>
  <si>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</si>
  <si>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</si>
  <si>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</si>
  <si>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</si>
  <si>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</si>
  <si>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</si>
  <si>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</si>
  <si>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</si>
  <si>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</si>
  <si>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</si>
  <si>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</si>
  <si>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</si>
  <si>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</si>
  <si>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</si>
  <si>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</si>
  <si>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</si>
  <si>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</si>
  <si>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</si>
  <si>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</si>
  <si>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</si>
  <si>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</si>
  <si>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</si>
  <si>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</si>
  <si>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</si>
  <si>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</si>
  <si>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</si>
  <si>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</si>
  <si>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</si>
  <si>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</si>
  <si>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</si>
  <si>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</si>
  <si>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</si>
  <si>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</si>
  <si>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</si>
  <si>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</si>
  <si>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</si>
  <si>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</si>
  <si>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</si>
  <si>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</si>
  <si>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</si>
  <si>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</si>
  <si>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</si>
  <si>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</si>
  <si>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</si>
  <si>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</si>
  <si>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</si>
  <si>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</si>
  <si>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</si>
  <si>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</si>
  <si>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</si>
  <si>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</si>
  <si>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</si>
  <si>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</si>
  <si>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</si>
  <si>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</si>
  <si>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</si>
  <si>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</si>
  <si>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</si>
  <si>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</si>
  <si>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</si>
  <si>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</si>
  <si>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</si>
  <si>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</si>
  <si>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</si>
  <si>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</si>
  <si>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</si>
  <si>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</si>
  <si>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</si>
  <si>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</si>
  <si>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</si>
  <si>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</si>
  <si>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</si>
  <si>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</si>
  <si>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</si>
  <si>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</si>
  <si>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</si>
  <si>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</si>
  <si>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</si>
  <si>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</si>
  <si>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</si>
  <si>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</si>
  <si>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</si>
  <si>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</si>
  <si>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</si>
  <si>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</si>
  <si>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</si>
  <si>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</si>
  <si>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</si>
  <si>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</si>
  <si>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</si>
  <si>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</si>
  <si>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</si>
  <si>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</si>
  <si>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</si>
  <si>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</si>
  <si>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</si>
  <si>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</si>
  <si>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</si>
  <si>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</si>
  <si>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</si>
  <si>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</si>
  <si>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</si>
  <si>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</si>
  <si>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</si>
  <si>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</si>
  <si>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</si>
  <si>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</si>
  <si>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</si>
  <si>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</si>
  <si>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</si>
  <si>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</si>
  <si>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</si>
  <si>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</si>
  <si>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</si>
  <si>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</si>
  <si>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</si>
  <si>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</si>
  <si>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</si>
  <si>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</si>
  <si>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</si>
  <si>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</si>
  <si>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</si>
  <si>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</si>
  <si>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</si>
  <si>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</si>
  <si>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</si>
  <si>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</si>
  <si>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</si>
  <si>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</si>
  <si>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</si>
  <si>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</si>
  <si>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</si>
  <si>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</si>
  <si>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</si>
  <si>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</si>
  <si>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</si>
  <si>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</si>
  <si>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</si>
  <si>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</si>
  <si>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</si>
  <si>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</si>
  <si>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</si>
  <si>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</si>
  <si>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</si>
  <si>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</si>
  <si>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</si>
  <si>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</si>
  <si>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</si>
  <si>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</si>
  <si>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</si>
  <si>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</si>
  <si>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</si>
  <si>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</si>
  <si>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</si>
  <si>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</si>
  <si>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</si>
  <si>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</si>
  <si>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</si>
  <si>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</si>
  <si>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</si>
  <si>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</si>
  <si>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</si>
  <si>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</si>
  <si>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</si>
  <si>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</si>
  <si>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</si>
  <si>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</si>
  <si>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</si>
  <si>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</si>
  <si>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</si>
  <si>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</si>
  <si>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</si>
  <si>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</si>
  <si>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</si>
  <si>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</si>
  <si>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</si>
  <si>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</si>
  <si>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</si>
  <si>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</si>
  <si>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</si>
  <si>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</si>
  <si>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</si>
  <si>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</si>
  <si>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</si>
  <si>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</si>
  <si>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</si>
  <si>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</si>
  <si>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</si>
  <si>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</si>
  <si>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</si>
  <si>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</si>
  <si>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</si>
  <si>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</si>
  <si>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</si>
  <si>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</si>
  <si>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</si>
  <si>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</si>
  <si>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</si>
  <si>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</si>
  <si>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</si>
  <si>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</si>
  <si>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</si>
  <si>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</si>
  <si>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</si>
  <si>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</si>
  <si>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</si>
  <si>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</si>
  <si>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</si>
  <si>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</si>
  <si>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</si>
  <si>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</si>
  <si>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</si>
  <si>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</si>
  <si>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</si>
  <si>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</si>
  <si>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</si>
  <si>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</si>
  <si>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</si>
  <si>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</si>
  <si>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</si>
  <si>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</si>
  <si>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</si>
  <si>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</si>
  <si>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</si>
  <si>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</si>
  <si>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</si>
  <si>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</si>
  <si>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</si>
  <si>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</si>
  <si>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</si>
  <si>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</si>
  <si>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</si>
  <si>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</si>
  <si>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</si>
  <si>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</si>
  <si>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</si>
  <si>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</si>
  <si>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</si>
  <si>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</si>
  <si>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</si>
  <si>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</si>
  <si>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</si>
  <si>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</si>
  <si>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</si>
  <si>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</si>
  <si>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</si>
  <si>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</si>
  <si>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</si>
  <si>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</si>
  <si>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</si>
  <si>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</si>
  <si>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</si>
  <si>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</si>
  <si>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</si>
  <si>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</si>
  <si>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</si>
  <si>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</si>
  <si>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</si>
  <si>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</si>
  <si>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</si>
  <si>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</si>
  <si>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</si>
  <si>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</si>
  <si>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</si>
  <si>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</si>
  <si>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</si>
  <si>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</si>
  <si>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</si>
  <si>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</si>
  <si>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</si>
  <si>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</si>
  <si>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</si>
  <si>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</si>
  <si>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</si>
  <si>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</si>
  <si>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</si>
  <si>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</si>
  <si>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</si>
  <si>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</si>
  <si>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</si>
  <si>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</si>
  <si>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</si>
  <si>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</si>
  <si>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</si>
  <si>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</si>
  <si>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</si>
  <si>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</si>
  <si>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</si>
  <si>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</si>
  <si>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</si>
  <si>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</si>
  <si>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</si>
  <si>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</si>
  <si>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</si>
  <si>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</si>
  <si>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</si>
  <si>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</si>
  <si>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</si>
  <si>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</si>
  <si>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</si>
  <si>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</si>
  <si>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</si>
  <si>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</si>
  <si>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</si>
  <si>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</si>
  <si>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</si>
  <si>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</si>
  <si>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</si>
  <si>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</si>
  <si>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</si>
  <si>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</si>
  <si>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</si>
  <si>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</si>
  <si>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</si>
  <si>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</si>
  <si>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</si>
  <si>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</si>
  <si>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</si>
  <si>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</si>
  <si>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</si>
  <si>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</si>
  <si>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</si>
  <si>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</si>
  <si>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</si>
  <si>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</si>
  <si>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</si>
  <si>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</si>
  <si>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</si>
  <si>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</si>
  <si>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</si>
  <si>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</si>
  <si>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</si>
  <si>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</si>
  <si>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</si>
  <si>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</si>
  <si>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</si>
  <si>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</si>
  <si>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</si>
  <si>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</si>
  <si>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</si>
  <si>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</si>
  <si>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</si>
  <si>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</si>
  <si>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</si>
  <si>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</si>
  <si>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</si>
  <si>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</si>
  <si>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</si>
  <si>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</si>
  <si>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</si>
  <si>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</si>
  <si>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</si>
  <si>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</si>
  <si>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</si>
  <si>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</si>
  <si>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</si>
  <si>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</si>
  <si>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</si>
  <si>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</si>
  <si>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</si>
  <si>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</si>
  <si>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</si>
  <si>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</si>
  <si>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</si>
  <si>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</si>
  <si>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</si>
  <si>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</si>
  <si>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</si>
  <si>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</si>
  <si>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</si>
  <si>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</si>
  <si>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</si>
  <si>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</si>
  <si>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</si>
  <si>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</si>
  <si>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</si>
  <si>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</si>
  <si>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</si>
  <si>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</si>
  <si>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</si>
  <si>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</si>
  <si>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</si>
  <si>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</si>
  <si>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</si>
  <si>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</si>
  <si>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</si>
  <si>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</si>
  <si>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</si>
  <si>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</si>
  <si>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</si>
  <si>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</si>
  <si>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</si>
  <si>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</si>
  <si>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</si>
  <si>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</si>
  <si>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</si>
  <si>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</si>
  <si>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</si>
  <si>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</si>
  <si>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</si>
  <si>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</si>
  <si>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</si>
  <si>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</si>
  <si>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</si>
  <si>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</si>
  <si>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</si>
  <si>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</si>
  <si>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</si>
  <si>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</si>
  <si>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</si>
  <si>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</si>
  <si>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</si>
  <si>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</si>
  <si>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</si>
  <si>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</si>
  <si>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</si>
  <si>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</si>
  <si>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</si>
  <si>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</si>
  <si>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</si>
  <si>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</si>
  <si>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</si>
  <si>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</si>
  <si>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</si>
  <si>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</si>
  <si>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</si>
  <si>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</si>
  <si>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</si>
  <si>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</si>
  <si>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</si>
  <si>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</si>
  <si>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</si>
  <si>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</si>
  <si>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</si>
  <si>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</si>
  <si>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</si>
  <si>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</si>
  <si>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</si>
  <si>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</si>
  <si>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</si>
  <si>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</si>
  <si>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</si>
  <si>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</si>
  <si>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</si>
  <si>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</si>
  <si>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</si>
  <si>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</si>
  <si>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</si>
  <si>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</si>
  <si>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</si>
  <si>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</si>
  <si>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</si>
  <si>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</si>
  <si>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</si>
  <si>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</si>
  <si>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</si>
  <si>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</si>
  <si>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</si>
  <si>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</si>
  <si>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</si>
  <si>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</si>
  <si>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</si>
  <si>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</si>
  <si>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</si>
  <si>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</si>
  <si>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</si>
  <si>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</si>
  <si>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</si>
  <si>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</si>
  <si>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</si>
  <si>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</si>
  <si>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</si>
  <si>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</si>
  <si>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</si>
  <si>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</si>
  <si>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</si>
  <si>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</si>
  <si>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</si>
  <si>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</si>
  <si>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</si>
  <si>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</si>
  <si>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</si>
  <si>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</si>
  <si>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</si>
  <si>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</si>
  <si>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</si>
  <si>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</si>
  <si>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</si>
  <si>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</si>
  <si>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</si>
  <si>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</si>
  <si>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</si>
  <si>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</si>
  <si>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</si>
  <si>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</si>
  <si>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</si>
  <si>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</si>
  <si>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</si>
  <si>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</si>
  <si>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</si>
  <si>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</si>
  <si>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</si>
  <si>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</si>
  <si>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</si>
  <si>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</si>
  <si>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</si>
  <si>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</si>
  <si>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</si>
  <si>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</si>
  <si>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</si>
  <si>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</si>
  <si>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</si>
  <si>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</si>
  <si>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</si>
  <si>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</si>
  <si>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</si>
  <si>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</si>
  <si>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</si>
  <si>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</si>
  <si>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</si>
  <si>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</si>
  <si>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</si>
  <si>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</si>
  <si>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</si>
  <si>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</si>
  <si>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</si>
  <si>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</si>
  <si>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</si>
  <si>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</si>
  <si>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</si>
  <si>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</si>
  <si>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</si>
  <si>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</si>
  <si>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</si>
  <si>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</si>
  <si>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</si>
  <si>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</si>
  <si>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</si>
  <si>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</si>
  <si>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</si>
  <si>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</si>
  <si>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</si>
  <si>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</si>
  <si>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</si>
  <si>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</si>
  <si>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</si>
  <si>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</si>
  <si>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</si>
  <si>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</si>
  <si>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</si>
  <si>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</si>
  <si>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</si>
  <si>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</si>
  <si>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</si>
  <si>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</si>
  <si>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</si>
  <si>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</si>
  <si>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</si>
  <si>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</si>
  <si>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</si>
  <si>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</si>
  <si>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</si>
  <si>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</si>
  <si>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</si>
  <si>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</si>
  <si>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</si>
  <si>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</si>
  <si>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</si>
  <si>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</si>
  <si>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</si>
  <si>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</si>
  <si>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</si>
  <si>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</si>
  <si>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</si>
  <si>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</si>
  <si>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</si>
  <si>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</si>
  <si>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</si>
  <si>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</si>
  <si>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</si>
  <si>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</si>
  <si>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</si>
  <si>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</si>
  <si>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</si>
  <si>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</si>
  <si>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</si>
  <si>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</si>
  <si>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</si>
  <si>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</si>
  <si>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</si>
  <si>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</si>
  <si>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</si>
  <si>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</si>
  <si>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</si>
  <si>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</si>
  <si>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</si>
  <si>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</si>
  <si>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</si>
  <si>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</si>
  <si>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</si>
  <si>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</si>
  <si>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</si>
  <si>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</si>
  <si>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</si>
  <si>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</si>
  <si>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</si>
  <si>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</si>
  <si>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</si>
  <si>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</si>
  <si>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</si>
  <si>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</si>
  <si>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</si>
  <si>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</si>
  <si>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</si>
  <si>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</si>
  <si>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</si>
  <si>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</si>
  <si>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</si>
  <si>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</si>
  <si>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</si>
  <si>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</si>
  <si>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</si>
  <si>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</si>
  <si>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</si>
  <si>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</si>
  <si>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</si>
  <si>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</si>
  <si>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</si>
  <si>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</si>
  <si>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</si>
  <si>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</si>
  <si>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</si>
  <si>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</si>
  <si>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</si>
  <si>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</si>
  <si>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</si>
  <si>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</si>
  <si>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</si>
  <si>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</si>
  <si>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</si>
  <si>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</si>
  <si>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</si>
  <si>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</si>
  <si>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</si>
  <si>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</si>
  <si>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</si>
  <si>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</si>
  <si>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</si>
  <si>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</si>
  <si>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</si>
  <si>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</si>
  <si>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</si>
  <si>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</si>
  <si>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</si>
  <si>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</si>
  <si>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</si>
  <si>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</si>
  <si>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</si>
  <si>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</si>
  <si>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</si>
  <si>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</si>
  <si>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</si>
  <si>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</si>
  <si>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</si>
  <si>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</si>
  <si>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</si>
  <si>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</si>
  <si>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</si>
  <si>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</si>
  <si>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</si>
  <si>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</si>
  <si>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</si>
  <si>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</si>
  <si>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</si>
  <si>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</si>
  <si>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</si>
  <si>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</si>
  <si>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</si>
  <si>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</si>
  <si>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</si>
  <si>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</si>
  <si>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</si>
  <si>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</si>
  <si>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</si>
  <si>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</si>
  <si>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</si>
  <si>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</si>
  <si>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</si>
  <si>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</si>
  <si>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</si>
  <si>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</si>
  <si>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</si>
  <si>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</si>
  <si>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</si>
  <si>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</si>
  <si>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</si>
  <si>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</si>
  <si>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</si>
  <si>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</si>
  <si>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</si>
  <si>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</si>
  <si>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</si>
  <si>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</si>
  <si>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</si>
  <si>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</si>
  <si>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</si>
  <si>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</si>
  <si>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</si>
  <si>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</si>
  <si>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</si>
  <si>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</si>
  <si>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</si>
  <si>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</si>
  <si>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</si>
  <si>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</si>
  <si>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</si>
  <si>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</si>
  <si>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</si>
  <si>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</si>
  <si>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</si>
  <si>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</si>
  <si>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</si>
  <si>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</si>
  <si>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</si>
  <si>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</si>
  <si>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</si>
  <si>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</si>
  <si>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</si>
  <si>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</si>
  <si>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</si>
  <si>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</si>
  <si>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</si>
  <si>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</si>
  <si>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</si>
  <si>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</si>
  <si>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</si>
  <si>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</si>
  <si>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</si>
  <si>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</si>
  <si>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</si>
  <si>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</si>
  <si>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</si>
  <si>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</si>
  <si>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</si>
  <si>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</si>
  <si>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</si>
  <si>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</si>
  <si>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</si>
  <si>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</si>
  <si>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</si>
  <si>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</si>
  <si>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</si>
  <si>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</si>
  <si>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</si>
  <si>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</si>
  <si>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</si>
  <si>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</si>
  <si>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</si>
  <si>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</si>
  <si>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</si>
  <si>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</si>
  <si>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</si>
  <si>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</si>
  <si>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</si>
  <si>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</si>
  <si>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</si>
  <si>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</si>
  <si>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</si>
  <si>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</si>
  <si>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</si>
  <si>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</si>
  <si>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</si>
  <si>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</si>
  <si>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</si>
  <si>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</si>
  <si>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</si>
  <si>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</si>
  <si>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</si>
  <si>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</si>
  <si>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</si>
  <si>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</si>
  <si>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</si>
  <si>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</si>
  <si>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</si>
  <si>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</si>
  <si>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</si>
  <si>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</si>
  <si>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</si>
  <si>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</si>
  <si>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</si>
  <si>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</si>
  <si>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</si>
  <si>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</si>
  <si>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</si>
  <si>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</si>
  <si>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</si>
  <si>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</si>
  <si>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</si>
  <si>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</si>
  <si>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</si>
  <si>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</si>
  <si>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</si>
  <si>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</si>
  <si>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</si>
  <si>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</si>
  <si>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</si>
  <si>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</si>
  <si>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</si>
  <si>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</si>
  <si>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</si>
  <si>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</si>
  <si>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</si>
  <si>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</si>
  <si>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</si>
  <si>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</si>
  <si>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</si>
  <si>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</si>
  <si>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</si>
  <si>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</si>
  <si>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</si>
  <si>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</si>
  <si>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</si>
  <si>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</si>
  <si>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</si>
  <si>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</si>
  <si>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</si>
  <si>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</si>
  <si>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</si>
  <si>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</si>
  <si>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</si>
  <si>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</si>
  <si>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</si>
  <si>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</si>
  <si>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</si>
  <si>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</si>
  <si>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</si>
  <si>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</si>
  <si>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</si>
  <si>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</si>
  <si>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</si>
  <si>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</si>
  <si>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</si>
  <si>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</si>
  <si>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</si>
  <si>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</si>
  <si>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</si>
  <si>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</si>
  <si>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</si>
  <si>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</si>
  <si>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</si>
  <si>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</si>
  <si>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</si>
  <si>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</si>
  <si>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</si>
  <si>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</si>
  <si>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</si>
  <si>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</si>
  <si>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</si>
  <si>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</si>
  <si>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</si>
  <si>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</si>
  <si>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</si>
  <si>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</si>
  <si>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</si>
  <si>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</si>
  <si>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</si>
  <si>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</si>
  <si>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</si>
  <si>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</si>
  <si>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</si>
  <si>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</si>
  <si>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</si>
  <si>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</si>
  <si>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</si>
  <si>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</si>
  <si>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</si>
  <si>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</si>
  <si>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</si>
  <si>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</si>
  <si>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</si>
  <si>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</si>
  <si>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</si>
  <si>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</si>
  <si>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</si>
  <si>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</si>
  <si>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</si>
  <si>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</si>
  <si>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</si>
  <si>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</si>
  <si>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</si>
  <si>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</si>
  <si>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</si>
  <si>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</si>
  <si>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</si>
  <si>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</si>
  <si>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</si>
  <si>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</si>
  <si>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</si>
  <si>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</si>
  <si>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</si>
  <si>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</si>
  <si>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</si>
  <si>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</si>
  <si>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</si>
  <si>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</si>
  <si>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</si>
  <si>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</si>
  <si>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</si>
  <si>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</si>
  <si>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</si>
  <si>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</si>
  <si>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</si>
  <si>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</si>
  <si>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</si>
  <si>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</si>
  <si>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</si>
  <si>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</si>
  <si>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</si>
  <si>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</si>
  <si>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</si>
  <si>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</si>
  <si>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</si>
  <si>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</si>
  <si>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</si>
  <si>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</si>
  <si>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</si>
  <si>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</si>
  <si>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</si>
  <si>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</si>
  <si>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</si>
  <si>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</si>
  <si>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</si>
  <si>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</si>
  <si>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</si>
  <si>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</si>
  <si>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</si>
  <si>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</si>
  <si>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</si>
  <si>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</si>
  <si>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</si>
  <si>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</si>
  <si>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</si>
  <si>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</si>
  <si>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</si>
  <si>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</si>
  <si>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</si>
  <si>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</si>
  <si>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</si>
  <si>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</si>
  <si>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</si>
  <si>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</si>
  <si>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</si>
  <si>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</si>
  <si>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</si>
  <si>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</si>
  <si>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</si>
  <si>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</si>
  <si>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</si>
  <si>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</si>
  <si>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</si>
  <si>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</si>
  <si>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</si>
  <si>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</si>
  <si>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</si>
  <si>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</si>
  <si>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</si>
  <si>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</si>
  <si>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</si>
  <si>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</si>
  <si>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</si>
  <si>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</si>
  <si>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</si>
  <si>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</si>
  <si>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</si>
  <si>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</si>
  <si>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</si>
  <si>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</si>
  <si>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</si>
  <si>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</si>
  <si>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</si>
  <si>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</si>
  <si>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</si>
  <si>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</si>
  <si>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</si>
  <si>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</si>
  <si>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</si>
  <si>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</si>
  <si>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</si>
  <si>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</si>
  <si>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</si>
  <si>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</si>
  <si>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</si>
  <si>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</si>
  <si>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</si>
  <si>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</si>
  <si>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</si>
  <si>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</si>
  <si>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</si>
  <si>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</si>
  <si>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</si>
  <si>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</si>
  <si>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</si>
  <si>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</si>
  <si>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</si>
  <si>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</si>
  <si>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</si>
  <si>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</si>
  <si>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</si>
  <si>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</si>
  <si>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</si>
  <si>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</si>
  <si>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</si>
  <si>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</si>
  <si>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</si>
  <si>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</si>
  <si>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</si>
  <si>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</si>
  <si>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</si>
  <si>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</si>
  <si>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</si>
  <si>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</si>
  <si>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</si>
  <si>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</si>
  <si>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</si>
  <si>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</si>
  <si>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</si>
  <si>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</si>
  <si>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</si>
  <si>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</si>
  <si>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</si>
  <si>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</si>
  <si>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</si>
  <si>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</si>
  <si>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</si>
  <si>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</si>
  <si>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</si>
  <si>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</si>
  <si>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</si>
  <si>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</si>
  <si>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</si>
  <si>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</si>
  <si>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</si>
  <si>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</si>
  <si>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</si>
  <si>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</si>
  <si>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</si>
  <si>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</si>
  <si>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</si>
  <si>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</si>
  <si>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</si>
  <si>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</si>
  <si>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</si>
  <si>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</si>
  <si>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</si>
  <si>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</si>
  <si>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</si>
  <si>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</si>
  <si>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</si>
  <si>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</si>
  <si>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</si>
  <si>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</si>
  <si>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</si>
  <si>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</si>
  <si>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</si>
  <si>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</si>
  <si>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</si>
  <si>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</si>
  <si>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</si>
  <si>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</si>
  <si>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</si>
  <si>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</si>
  <si>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</si>
  <si>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</si>
  <si>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</si>
  <si>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</si>
  <si>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</si>
  <si>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</si>
  <si>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</si>
  <si>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</si>
  <si>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</si>
  <si>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</si>
  <si>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</si>
  <si>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</si>
  <si>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</si>
  <si>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</si>
  <si>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</si>
  <si>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</si>
  <si>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</si>
  <si>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</si>
  <si>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</si>
  <si>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</si>
  <si>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</si>
  <si>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</si>
  <si>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</si>
  <si>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</si>
  <si>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</si>
  <si>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</si>
  <si>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</si>
  <si>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</si>
  <si>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</si>
  <si>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</si>
  <si>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</si>
  <si>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</si>
  <si>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</si>
  <si>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</si>
  <si>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</si>
  <si>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</si>
  <si>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</si>
  <si>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</si>
  <si>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</si>
  <si>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</si>
  <si>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</si>
  <si>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</si>
  <si>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</si>
  <si>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</si>
  <si>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</si>
  <si>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</si>
  <si>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</si>
  <si>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</si>
  <si>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</si>
  <si>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</si>
  <si>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</si>
  <si>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</si>
  <si>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</si>
  <si>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</si>
  <si>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</si>
  <si>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</si>
  <si>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</si>
  <si>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</si>
  <si>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</si>
  <si>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</si>
  <si>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</si>
  <si>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</si>
  <si>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</si>
  <si>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</si>
  <si>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</si>
  <si>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</si>
  <si>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</si>
  <si>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</si>
  <si>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</si>
  <si>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</si>
  <si>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</si>
  <si>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</si>
  <si>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</si>
  <si>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</si>
  <si>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</si>
  <si>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</si>
  <si>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</si>
  <si>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</si>
  <si>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</si>
  <si>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</si>
  <si>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</si>
  <si>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</si>
  <si>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</si>
  <si>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</si>
  <si>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</si>
  <si>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</si>
  <si>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</si>
  <si>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</si>
  <si>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</si>
  <si>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</si>
  <si>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</si>
  <si>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</si>
  <si>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</si>
  <si>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</si>
  <si>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</si>
  <si>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</si>
  <si>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</si>
  <si>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</si>
  <si>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</si>
  <si>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</si>
  <si>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</si>
  <si>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</si>
  <si>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</si>
  <si>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</si>
  <si>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</si>
  <si>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</si>
  <si>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</si>
  <si>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</si>
  <si>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</si>
  <si>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</si>
  <si>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</si>
  <si>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</si>
  <si>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</si>
  <si>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</si>
  <si>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</si>
  <si>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</si>
  <si>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</si>
  <si>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</si>
  <si>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</si>
  <si>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</si>
  <si>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</si>
  <si>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</si>
  <si>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</si>
  <si>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</si>
  <si>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</si>
  <si>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</si>
  <si>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</si>
  <si>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</si>
  <si>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</si>
  <si>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</si>
  <si>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</si>
  <si>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</si>
  <si>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</si>
  <si>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</si>
  <si>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</si>
  <si>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</si>
  <si>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</si>
  <si>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</si>
  <si>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</si>
  <si>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</si>
  <si>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</si>
  <si>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</si>
  <si>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</si>
  <si>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</si>
  <si>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</si>
  <si>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</si>
  <si>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</si>
  <si>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</si>
  <si>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</si>
  <si>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</si>
  <si>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</si>
  <si>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</si>
  <si>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</si>
  <si>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</si>
  <si>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</si>
  <si>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</si>
  <si>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</si>
  <si>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</si>
  <si>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</si>
  <si>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</si>
  <si>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</si>
  <si>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</si>
  <si>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</si>
  <si>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</si>
  <si>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</si>
  <si>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</si>
  <si>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</si>
  <si>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</si>
  <si>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</si>
  <si>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</si>
  <si>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</si>
  <si>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</si>
  <si>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</si>
  <si>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</si>
  <si>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</si>
  <si>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</si>
  <si>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</si>
  <si>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</si>
  <si>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</si>
  <si>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</si>
  <si>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</si>
  <si>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</si>
  <si>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</si>
  <si>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</si>
  <si>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</si>
  <si>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</si>
  <si>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</si>
  <si>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</si>
  <si>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</si>
  <si>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</si>
  <si>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</si>
  <si>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</si>
  <si>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</si>
  <si>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</si>
  <si>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</si>
  <si>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</si>
  <si>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</si>
  <si>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</si>
  <si>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</si>
  <si>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</si>
  <si>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</si>
  <si>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</si>
  <si>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</si>
  <si>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</si>
  <si>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</si>
  <si>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</si>
  <si>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</si>
  <si>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</si>
  <si>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</si>
  <si>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</si>
  <si>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</si>
  <si>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</si>
  <si>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</si>
  <si>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</si>
  <si>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</si>
  <si>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</si>
  <si>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</si>
  <si>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</si>
  <si>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</si>
  <si>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</si>
  <si>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</si>
  <si>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</si>
  <si>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</si>
  <si>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</si>
  <si>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</si>
  <si>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</si>
  <si>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</si>
  <si>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</si>
  <si>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</si>
  <si>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</si>
  <si>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</si>
  <si>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</si>
  <si>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</si>
  <si>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</si>
  <si>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</si>
  <si>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</si>
  <si>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</si>
  <si>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</si>
  <si>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</si>
  <si>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</si>
  <si>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</si>
  <si>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</si>
  <si>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</si>
  <si>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</si>
  <si>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</si>
  <si>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</si>
  <si>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</si>
  <si>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</si>
  <si>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</si>
  <si>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</si>
  <si>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</si>
  <si>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</si>
  <si>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</si>
  <si>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</si>
  <si>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</si>
  <si>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</si>
  <si>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</si>
  <si>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</si>
  <si>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</si>
  <si>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</si>
  <si>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</si>
  <si>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</si>
  <si>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</si>
  <si>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</si>
  <si>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</si>
  <si>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</si>
  <si>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</si>
  <si>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</si>
  <si>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</si>
  <si>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</si>
  <si>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</si>
  <si>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</si>
  <si>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</si>
  <si>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</si>
  <si>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</si>
  <si>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</si>
  <si>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</si>
  <si>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</si>
  <si>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</si>
  <si>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</si>
  <si>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</si>
  <si>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</si>
  <si>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</si>
  <si>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</si>
  <si>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</si>
  <si>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</si>
  <si>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</si>
  <si>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</si>
  <si>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</si>
  <si>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</si>
  <si>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</si>
  <si>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</si>
  <si>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</si>
  <si>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</si>
  <si>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</si>
  <si>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</si>
  <si>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</si>
  <si>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</si>
  <si>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</si>
  <si>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</si>
  <si>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</si>
  <si>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</si>
  <si>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</si>
  <si>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</si>
  <si>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</si>
  <si>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</si>
  <si>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</si>
  <si>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</si>
  <si>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</si>
  <si>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</si>
  <si>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</si>
  <si>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</si>
  <si>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</si>
  <si>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</si>
  <si>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</si>
  <si>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</si>
  <si>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</si>
  <si>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</si>
  <si>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</si>
  <si>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</si>
  <si>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</si>
  <si>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</si>
  <si>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</si>
  <si>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</si>
  <si>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</si>
  <si>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</si>
  <si>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</si>
  <si>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</si>
  <si>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</si>
  <si>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</si>
  <si>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</si>
  <si>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</si>
  <si>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</si>
  <si>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</si>
  <si>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</si>
  <si>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</si>
  <si>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</si>
  <si>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</si>
  <si>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</si>
  <si>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</si>
  <si>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</si>
  <si>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</si>
  <si>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</si>
  <si>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</si>
  <si>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</si>
  <si>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</si>
  <si>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</si>
  <si>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</si>
  <si>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</si>
  <si>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</si>
  <si>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</si>
  <si>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</si>
  <si>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</si>
  <si>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</si>
  <si>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</si>
  <si>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</si>
  <si>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</si>
  <si>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</si>
  <si>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</si>
  <si>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</si>
  <si>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</si>
  <si>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</si>
  <si>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</si>
  <si>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</si>
  <si>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</si>
  <si>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</si>
  <si>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</si>
  <si>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</si>
  <si>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</si>
  <si>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</si>
  <si>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</si>
  <si>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</si>
  <si>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</si>
  <si>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</si>
  <si>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</si>
  <si>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</si>
  <si>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</si>
  <si>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</si>
  <si>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</si>
  <si>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</si>
  <si>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</si>
  <si>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</si>
  <si>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</si>
  <si>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</si>
  <si>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</si>
  <si>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</si>
  <si>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</si>
  <si>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</si>
  <si>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</si>
  <si>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</si>
  <si>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</si>
  <si>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</si>
  <si>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</si>
  <si>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</si>
  <si>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</si>
  <si>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</si>
  <si>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</si>
  <si>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</si>
  <si>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</si>
  <si>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</si>
  <si>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</si>
  <si>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</si>
  <si>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</si>
  <si>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</si>
  <si>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</si>
  <si>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</si>
  <si>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</si>
  <si>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</si>
  <si>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</si>
  <si>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</si>
  <si>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</si>
  <si>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</si>
  <si>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</si>
  <si>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</si>
  <si>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</si>
  <si>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</si>
  <si>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</si>
  <si>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</si>
  <si>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</si>
  <si>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</si>
  <si>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</si>
  <si>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</si>
  <si>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</si>
  <si>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</si>
  <si>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</si>
  <si>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</si>
  <si>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</si>
  <si>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</si>
  <si>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</si>
  <si>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</si>
  <si>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</si>
  <si>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</si>
  <si>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</si>
  <si>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</si>
  <si>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</si>
  <si>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</si>
  <si>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</si>
  <si>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</si>
  <si>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</si>
  <si>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</si>
  <si>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</si>
  <si>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</si>
  <si>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</si>
  <si>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</si>
  <si>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</si>
  <si>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</si>
  <si>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</si>
  <si>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</si>
  <si>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</si>
  <si>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</si>
  <si>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</si>
  <si>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</si>
  <si>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</si>
  <si>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</si>
  <si>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</si>
  <si>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</si>
  <si>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</si>
  <si>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</si>
  <si>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</si>
  <si>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</si>
  <si>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</si>
  <si>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</si>
  <si>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</si>
  <si>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</si>
  <si>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</si>
  <si>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</si>
  <si>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</si>
  <si>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</si>
  <si>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</si>
  <si>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</si>
  <si>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</si>
  <si>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</si>
  <si>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</si>
  <si>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</si>
  <si>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</si>
  <si>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</si>
  <si>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</si>
  <si>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</si>
  <si>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</si>
  <si>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</si>
  <si>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</si>
  <si>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</si>
  <si>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</si>
  <si>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</si>
  <si>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</si>
  <si>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</si>
  <si>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</si>
  <si>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</si>
  <si>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</si>
  <si>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</si>
  <si>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</si>
  <si>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</si>
  <si>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</si>
  <si>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</si>
  <si>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</si>
  <si>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</si>
  <si>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</si>
  <si>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</si>
  <si>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</si>
  <si>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</si>
  <si>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</si>
  <si>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</si>
  <si>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</si>
  <si>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</si>
  <si>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</si>
  <si>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</si>
  <si>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</si>
  <si>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</si>
  <si>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</si>
  <si>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</si>
  <si>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</si>
  <si>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</si>
  <si>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</si>
  <si>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</si>
  <si>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</si>
  <si>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</si>
  <si>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</si>
  <si>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</si>
  <si>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</si>
  <si>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</si>
  <si>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</si>
  <si>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</si>
  <si>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</si>
  <si>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</si>
  <si>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</si>
  <si>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</si>
  <si>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</si>
  <si>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</si>
  <si>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</si>
  <si>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</si>
  <si>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</si>
  <si>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</si>
  <si>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</si>
  <si>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</si>
  <si>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</si>
  <si>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</si>
  <si>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</si>
  <si>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</si>
  <si>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</si>
  <si>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</si>
  <si>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</si>
  <si>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</si>
  <si>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</si>
  <si>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</si>
  <si>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</si>
  <si>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</si>
  <si>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</si>
  <si>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</si>
  <si>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</si>
  <si>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</si>
  <si>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</si>
  <si>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</si>
  <si>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</si>
  <si>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</si>
  <si>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</si>
  <si>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</si>
  <si>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</si>
  <si>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</si>
  <si>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</si>
  <si>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</si>
  <si>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</si>
  <si>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</si>
  <si>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</si>
  <si>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</si>
  <si>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</si>
  <si>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</si>
  <si>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</si>
  <si>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</si>
  <si>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</si>
  <si>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</si>
  <si>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</si>
  <si>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</si>
  <si>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</si>
  <si>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</si>
  <si>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</si>
  <si>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</si>
  <si>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</si>
  <si>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</si>
  <si>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</si>
  <si>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</si>
  <si>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</si>
  <si>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</si>
  <si>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</si>
  <si>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</si>
  <si>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</si>
  <si>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</si>
  <si>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</si>
  <si>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</si>
  <si>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</si>
  <si>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</si>
  <si>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</si>
  <si>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</si>
  <si>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</si>
  <si>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</si>
  <si>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</si>
  <si>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</si>
  <si>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</si>
  <si>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</si>
  <si>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</si>
  <si>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</si>
  <si>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</si>
  <si>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</si>
  <si>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</si>
  <si>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</si>
  <si>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</si>
  <si>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</si>
  <si>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</si>
  <si>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</si>
  <si>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</si>
  <si>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</si>
  <si>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</si>
  <si>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</si>
  <si>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</si>
  <si>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</si>
  <si>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</si>
  <si>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</si>
  <si>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</si>
  <si>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</si>
  <si>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</si>
  <si>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</si>
  <si>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</si>
  <si>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</si>
  <si>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</si>
  <si>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</si>
  <si>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</si>
  <si>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</si>
  <si>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</si>
  <si>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</si>
  <si>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</si>
  <si>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</si>
  <si>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</si>
  <si>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</si>
  <si>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</si>
  <si>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</si>
  <si>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</si>
  <si>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</si>
  <si>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</si>
  <si>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</si>
  <si>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</si>
  <si>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</si>
  <si>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</si>
  <si>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</si>
  <si>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</si>
  <si>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</si>
  <si>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</si>
  <si>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</si>
  <si>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</si>
  <si>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</si>
  <si>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</si>
  <si>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</si>
  <si>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</si>
  <si>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</si>
  <si>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</si>
  <si>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</si>
  <si>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</si>
  <si>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</si>
  <si>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</si>
  <si>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</si>
  <si>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</si>
  <si>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</si>
  <si>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</si>
  <si>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</si>
  <si>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</si>
  <si>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</si>
  <si>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</si>
  <si>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</si>
  <si>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</si>
  <si>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</si>
  <si>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</si>
  <si>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</si>
  <si>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</si>
  <si>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</si>
  <si>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</si>
  <si>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</si>
  <si>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</si>
  <si>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</si>
  <si>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</si>
  <si>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</si>
  <si>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</si>
  <si>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</si>
  <si>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</si>
  <si>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</si>
  <si>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</si>
  <si>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</si>
  <si>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</si>
  <si>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</si>
  <si>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</si>
  <si>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</si>
  <si>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</si>
  <si>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</si>
  <si>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</si>
  <si>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</si>
  <si>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</si>
  <si>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</si>
  <si>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</si>
  <si>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</si>
  <si>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</si>
  <si>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</si>
  <si>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</si>
  <si>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</si>
  <si>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</si>
  <si>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</si>
  <si>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</si>
  <si>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</si>
  <si>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</si>
  <si>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</si>
  <si>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</si>
  <si>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</si>
  <si>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</si>
  <si>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</si>
  <si>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</si>
  <si>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</si>
  <si>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</si>
  <si>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</si>
  <si>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</si>
  <si>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</si>
  <si>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</si>
  <si>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</si>
  <si>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</si>
  <si>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</si>
  <si>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</si>
  <si>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</si>
  <si>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</si>
  <si>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</si>
  <si>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</si>
  <si>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</si>
  <si>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</si>
  <si>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</si>
  <si>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</si>
  <si>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</si>
  <si>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</si>
  <si>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</si>
  <si>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</si>
  <si>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</si>
  <si>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</si>
  <si>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</si>
  <si>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</si>
  <si>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</si>
  <si>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</si>
  <si>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</si>
  <si>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</si>
  <si>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</si>
  <si>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</si>
  <si>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</si>
  <si>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</si>
  <si>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</si>
  <si>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</si>
  <si>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</si>
  <si>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</si>
  <si>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</si>
  <si>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</si>
  <si>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</si>
  <si>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</si>
  <si>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</si>
  <si>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</si>
  <si>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</si>
  <si>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</si>
  <si>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</si>
  <si>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</si>
  <si>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</si>
  <si>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</si>
  <si>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</si>
  <si>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</si>
  <si>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</si>
  <si>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</si>
  <si>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</si>
  <si>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</si>
  <si>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</si>
  <si>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</si>
  <si>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</si>
  <si>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</si>
  <si>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</si>
  <si>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</si>
  <si>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</si>
  <si>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</si>
  <si>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</si>
  <si>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</si>
  <si>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</si>
  <si>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</si>
  <si>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</si>
  <si>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</si>
  <si>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</si>
  <si>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</si>
  <si>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</si>
  <si>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</si>
  <si>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</si>
  <si>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</si>
  <si>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</si>
  <si>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</si>
  <si>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</si>
  <si>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</si>
  <si>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</si>
  <si>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</si>
  <si>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</si>
  <si>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</si>
  <si>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</si>
  <si>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</si>
  <si>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</si>
  <si>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</si>
  <si>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</si>
  <si>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</si>
  <si>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</si>
  <si>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</si>
  <si>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</si>
  <si>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</si>
  <si>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</si>
  <si>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</si>
  <si>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</si>
  <si>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</si>
  <si>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</si>
  <si>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</si>
  <si>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</si>
  <si>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</si>
  <si>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</si>
  <si>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</si>
  <si>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</si>
  <si>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</si>
  <si>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</si>
  <si>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</si>
  <si>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</si>
  <si>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</si>
  <si>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</si>
  <si>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</si>
  <si>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</si>
  <si>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</si>
  <si>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</si>
  <si>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</si>
  <si>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</si>
  <si>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</si>
  <si>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</si>
  <si>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</si>
  <si>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</si>
  <si>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</si>
  <si>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</si>
  <si>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</si>
  <si>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</si>
  <si>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</si>
  <si>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</si>
  <si>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</si>
  <si>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</si>
  <si>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</si>
  <si>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</si>
  <si>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</si>
  <si>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</si>
  <si>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</si>
  <si>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</si>
  <si>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</si>
  <si>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</si>
  <si>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</si>
  <si>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</si>
  <si>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</si>
  <si>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</si>
  <si>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</si>
  <si>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</si>
  <si>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</si>
  <si>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</si>
  <si>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</si>
  <si>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</si>
  <si>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</si>
  <si>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</si>
  <si>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</si>
  <si>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</si>
  <si>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</si>
  <si>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</si>
  <si>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</si>
  <si>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</si>
  <si>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</si>
  <si>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</si>
  <si>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</si>
  <si>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</si>
  <si>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</si>
  <si>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</si>
  <si>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</si>
  <si>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</si>
  <si>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</si>
  <si>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</si>
  <si>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</si>
  <si>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</si>
  <si>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</si>
  <si>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</si>
  <si>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</si>
  <si>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</si>
  <si>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</si>
  <si>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</si>
  <si>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</si>
  <si>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</si>
  <si>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</si>
  <si>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</si>
  <si>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</si>
  <si>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</si>
  <si>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</si>
  <si>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</si>
  <si>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</si>
  <si>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</si>
  <si>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</si>
  <si>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</si>
  <si>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</si>
  <si>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</si>
  <si>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</si>
  <si>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</si>
  <si>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</si>
  <si>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</si>
  <si>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</si>
  <si>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</si>
  <si>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</si>
  <si>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</si>
  <si>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</si>
  <si>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</si>
  <si>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</si>
  <si>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</si>
  <si>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</si>
  <si>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</si>
  <si>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</si>
  <si>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</si>
  <si>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</si>
  <si>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</si>
  <si>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</si>
  <si>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</si>
  <si>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</si>
  <si>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</si>
  <si>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</si>
  <si>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</si>
  <si>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</si>
  <si>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</si>
  <si>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</si>
  <si>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</si>
  <si>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</si>
  <si>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</si>
  <si>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</si>
  <si>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</si>
  <si>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</si>
  <si>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</si>
  <si>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</si>
  <si>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</si>
  <si>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</si>
  <si>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</si>
  <si>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</si>
  <si>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</si>
  <si>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</si>
  <si>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</si>
  <si>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</si>
  <si>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</si>
  <si>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</si>
  <si>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</si>
  <si>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</si>
  <si>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</si>
  <si>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</si>
  <si>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</si>
  <si>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</si>
  <si>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</si>
  <si>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</si>
  <si>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</si>
  <si>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</si>
  <si>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</si>
  <si>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</si>
  <si>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</si>
  <si>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</si>
  <si>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</si>
  <si>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</si>
  <si>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</si>
  <si>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</si>
  <si>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</si>
  <si>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</si>
  <si>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</si>
  <si>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</si>
  <si>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</si>
  <si>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</si>
  <si>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</si>
  <si>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</si>
  <si>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</si>
  <si>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</si>
  <si>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</si>
  <si>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</si>
  <si>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</si>
  <si>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</si>
  <si>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</si>
  <si>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</si>
  <si>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</si>
  <si>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</si>
  <si>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</si>
  <si>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</si>
  <si>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</si>
  <si>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</si>
  <si>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</si>
  <si>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</si>
  <si>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</si>
  <si>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</si>
  <si>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</si>
  <si>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</si>
  <si>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</si>
  <si>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</si>
  <si>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</si>
  <si>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</si>
  <si>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</si>
  <si>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</si>
  <si>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</si>
  <si>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</si>
  <si>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</si>
  <si>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</si>
  <si>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</si>
  <si>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</si>
  <si>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</si>
  <si>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</si>
  <si>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</si>
  <si>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</si>
  <si>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</si>
  <si>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</si>
  <si>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</si>
  <si>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</si>
  <si>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</si>
  <si>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</si>
  <si>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</si>
  <si>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</si>
  <si>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</si>
  <si>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</si>
  <si>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</si>
  <si>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</si>
  <si>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</si>
  <si>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</si>
  <si>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</si>
  <si>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</si>
  <si>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</si>
  <si>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</si>
  <si>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</si>
  <si>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</si>
  <si>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</si>
  <si>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</si>
  <si>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</si>
  <si>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</si>
  <si>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</si>
  <si>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</si>
  <si>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</si>
  <si>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</si>
  <si>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</si>
  <si>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</si>
  <si>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</si>
  <si>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</si>
  <si>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</si>
  <si>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</si>
  <si>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</si>
  <si>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</si>
  <si>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</si>
  <si>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</si>
  <si>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</si>
  <si>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</si>
  <si>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</si>
  <si>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</si>
  <si>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</si>
  <si>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</si>
  <si>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</si>
  <si>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</si>
  <si>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</si>
  <si>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</si>
  <si>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</si>
  <si>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</si>
  <si>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</si>
  <si>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</si>
  <si>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</si>
  <si>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</si>
  <si>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</si>
  <si>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</si>
  <si>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</si>
  <si>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</si>
  <si>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</si>
  <si>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</si>
  <si>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</si>
  <si>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</si>
  <si>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</si>
  <si>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</si>
  <si>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</si>
  <si>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</si>
  <si>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</si>
  <si>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</si>
  <si>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</si>
  <si>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</si>
  <si>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</si>
  <si>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</si>
  <si>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</si>
  <si>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</si>
  <si>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</si>
  <si>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</si>
  <si>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</si>
  <si>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</si>
  <si>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</si>
  <si>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</si>
  <si>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</si>
  <si>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</si>
  <si>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</si>
  <si>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</si>
  <si>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</si>
  <si>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</si>
  <si>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</si>
  <si>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</si>
  <si>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</si>
  <si>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</si>
  <si>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</si>
  <si>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</si>
  <si>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</si>
  <si>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</si>
  <si>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</si>
  <si>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</si>
  <si>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</si>
  <si>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</si>
  <si>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</si>
  <si>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</si>
  <si>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</si>
  <si>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</si>
  <si>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</si>
  <si>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</si>
  <si>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</si>
  <si>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</si>
  <si>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</si>
  <si>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</si>
  <si>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</si>
  <si>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</si>
  <si>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</si>
  <si>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</si>
  <si>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</si>
  <si>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</si>
  <si>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</si>
  <si>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</si>
  <si>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</si>
  <si>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</si>
  <si>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</si>
  <si>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</si>
  <si>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</si>
  <si>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</si>
  <si>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</si>
  <si>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</si>
  <si>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</si>
  <si>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</si>
  <si>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</si>
  <si>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</si>
  <si>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</si>
  <si>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</si>
  <si>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</si>
  <si>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</si>
  <si>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</si>
  <si>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</si>
  <si>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</si>
  <si>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</si>
  <si>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</si>
  <si>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</si>
  <si>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</si>
  <si>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</si>
  <si>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</si>
  <si>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</si>
  <si>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</si>
  <si>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</si>
  <si>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</si>
  <si>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</si>
  <si>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</si>
  <si>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</si>
  <si>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</si>
  <si>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</si>
  <si>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</si>
  <si>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</si>
  <si>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</si>
  <si>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</si>
  <si>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</si>
  <si>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</si>
  <si>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</si>
  <si>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</si>
  <si>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</si>
  <si>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</si>
  <si>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</si>
  <si>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</si>
  <si>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</si>
  <si>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</si>
  <si>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</si>
  <si>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</si>
  <si>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</si>
  <si>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</si>
  <si>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</si>
  <si>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</si>
  <si>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</si>
  <si>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</si>
  <si>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</si>
  <si>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</si>
  <si>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</si>
  <si>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</si>
  <si>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</si>
  <si>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</si>
  <si>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</si>
  <si>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</si>
  <si>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</si>
  <si>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</si>
  <si>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</si>
  <si>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</si>
  <si>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</si>
  <si>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</si>
  <si>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</si>
  <si>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</si>
  <si>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</si>
  <si>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</si>
  <si>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</si>
  <si>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</si>
  <si>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</si>
  <si>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</si>
  <si>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</si>
  <si>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</si>
  <si>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</si>
  <si>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</si>
  <si>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</si>
  <si>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</si>
  <si>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</si>
  <si>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</si>
  <si>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</si>
  <si>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</si>
  <si>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</si>
  <si>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</si>
  <si>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</si>
  <si>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</si>
  <si>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</si>
  <si>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</si>
  <si>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</si>
  <si>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</si>
  <si>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</si>
  <si>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</si>
  <si>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</si>
  <si>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</si>
  <si>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</si>
  <si>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</si>
  <si>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</si>
  <si>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</si>
  <si>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</si>
  <si>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</si>
  <si>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</si>
  <si>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</si>
  <si>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</si>
  <si>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</si>
  <si>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</si>
  <si>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</si>
  <si>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</si>
  <si>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</si>
  <si>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</si>
  <si>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</si>
  <si>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</si>
  <si>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</si>
  <si>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</si>
  <si>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</si>
  <si>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</si>
  <si>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</si>
  <si>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</si>
  <si>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</si>
  <si>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</si>
  <si>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</si>
  <si>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</si>
  <si>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</si>
  <si>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</si>
  <si>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</si>
  <si>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</si>
  <si>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</si>
  <si>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</si>
  <si>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</si>
  <si>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</si>
  <si>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</si>
  <si>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</si>
  <si>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</si>
  <si>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</si>
  <si>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</si>
  <si>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</si>
  <si>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</si>
  <si>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</si>
  <si>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</si>
  <si>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</si>
  <si>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</si>
  <si>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</si>
  <si>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</si>
  <si>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</si>
  <si>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</si>
  <si>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</si>
  <si>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</si>
  <si>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</si>
  <si>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</si>
  <si>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</si>
  <si>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</si>
  <si>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</si>
  <si>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</si>
  <si>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</si>
  <si>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</si>
  <si>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</si>
  <si>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</si>
  <si>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</si>
  <si>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</si>
  <si>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</si>
  <si>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</si>
  <si>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</si>
  <si>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</si>
  <si>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</si>
  <si>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</si>
  <si>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</si>
  <si>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</si>
  <si>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</si>
  <si>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</si>
  <si>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</si>
  <si>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</si>
  <si>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</si>
  <si>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</si>
  <si>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</si>
  <si>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</si>
  <si>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</si>
  <si>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</si>
  <si>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</si>
  <si>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</si>
  <si>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</si>
  <si>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</si>
  <si>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</si>
  <si>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</si>
  <si>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</si>
  <si>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</si>
  <si>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</si>
  <si>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</si>
  <si>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</si>
  <si>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</si>
  <si>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</si>
  <si>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</si>
  <si>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</si>
  <si>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</si>
  <si>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</si>
  <si>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</si>
  <si>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</si>
  <si>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</si>
  <si>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</si>
  <si>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</si>
  <si>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</si>
  <si>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</si>
  <si>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</si>
  <si>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</si>
  <si>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</si>
  <si>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</si>
  <si>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</si>
  <si>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</si>
  <si>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</si>
  <si>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</si>
  <si>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</si>
  <si>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</si>
  <si>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</si>
  <si>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</si>
  <si>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</si>
  <si>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</si>
  <si>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</si>
  <si>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</si>
  <si>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</si>
  <si>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</si>
  <si>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</si>
  <si>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</si>
  <si>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</si>
  <si>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</si>
  <si>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</si>
  <si>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</si>
  <si>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</si>
  <si>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</si>
  <si>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</si>
  <si>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</si>
  <si>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</si>
  <si>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</si>
  <si>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</si>
  <si>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</si>
  <si>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</si>
  <si>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</si>
  <si>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</si>
  <si>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</si>
  <si>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</si>
  <si>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</si>
  <si>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</si>
  <si>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</si>
  <si>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</si>
  <si>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</si>
  <si>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</si>
  <si>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</si>
  <si>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</si>
  <si>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</si>
  <si>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</si>
  <si>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</si>
  <si>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</si>
  <si>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</si>
  <si>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</si>
  <si>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</si>
  <si>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</si>
  <si>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</si>
  <si>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</si>
  <si>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</si>
  <si>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</si>
  <si>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</si>
  <si>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</si>
  <si>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</si>
  <si>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</si>
  <si>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</si>
  <si>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</si>
  <si>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</si>
  <si>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</si>
  <si>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</si>
  <si>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</si>
  <si>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</si>
  <si>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</si>
  <si>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</si>
  <si>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</si>
  <si>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</si>
  <si>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</si>
  <si>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</si>
  <si>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</si>
  <si>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</si>
  <si>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</si>
  <si>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</si>
  <si>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</si>
  <si>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</si>
  <si>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</si>
  <si>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</si>
  <si>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</si>
  <si>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</si>
  <si>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</si>
  <si>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</si>
  <si>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</si>
  <si>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</si>
  <si>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</si>
  <si>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</si>
  <si>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</si>
  <si>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</si>
  <si>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</si>
  <si>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</si>
  <si>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</si>
  <si>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</si>
  <si>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</si>
  <si>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</si>
  <si>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</si>
  <si>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</si>
  <si>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</si>
  <si>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</si>
  <si>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</si>
  <si>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</si>
  <si>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</si>
  <si>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</si>
  <si>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</si>
  <si>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</si>
  <si>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</si>
  <si>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</si>
  <si>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</si>
  <si>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</si>
  <si>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</si>
  <si>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</si>
  <si>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</si>
  <si>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</si>
  <si>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</si>
  <si>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</si>
  <si>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</si>
  <si>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</si>
  <si>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</si>
  <si>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</si>
  <si>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</si>
  <si>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</si>
  <si>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</si>
  <si>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</si>
  <si>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</si>
  <si>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</si>
  <si>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</si>
  <si>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</si>
  <si>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</si>
  <si>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</si>
  <si>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</si>
  <si>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</si>
  <si>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</si>
  <si>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</si>
  <si>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</si>
  <si>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</si>
  <si>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</si>
  <si>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</si>
  <si>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</si>
  <si>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</si>
  <si>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</si>
  <si>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</si>
  <si>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</si>
  <si>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</si>
  <si>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</si>
  <si>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</si>
  <si>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</si>
  <si>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</si>
  <si>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</si>
  <si>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</si>
  <si>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</si>
  <si>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</si>
  <si>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</si>
  <si>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</si>
  <si>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</si>
  <si>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</si>
  <si>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</si>
  <si>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</si>
  <si>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</si>
  <si>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</si>
  <si>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</si>
  <si>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</si>
  <si>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</si>
  <si>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</si>
  <si>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</si>
  <si>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</si>
  <si>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</si>
  <si>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</si>
  <si>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</si>
  <si>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</si>
  <si>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</si>
  <si>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</si>
  <si>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</si>
  <si>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</si>
  <si>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</si>
  <si>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</si>
  <si>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</si>
  <si>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</si>
  <si>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</si>
  <si>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</si>
  <si>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</si>
  <si>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</si>
  <si>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</si>
  <si>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</si>
  <si>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</si>
  <si>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</si>
  <si>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</si>
  <si>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</si>
  <si>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</si>
  <si>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</si>
  <si>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</si>
  <si>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</si>
  <si>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</si>
  <si>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</si>
  <si>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</si>
  <si>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</si>
  <si>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</si>
  <si>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</si>
  <si>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</si>
  <si>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</si>
  <si>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</si>
  <si>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</si>
  <si>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</si>
  <si>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</si>
  <si>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</si>
  <si>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</si>
  <si>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</si>
  <si>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</si>
  <si>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</si>
  <si>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</si>
  <si>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</si>
  <si>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</si>
  <si>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</si>
  <si>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</si>
  <si>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</si>
  <si>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</si>
  <si>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</si>
  <si>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</si>
  <si>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</si>
  <si>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</si>
  <si>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</si>
  <si>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</si>
  <si>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</si>
  <si>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</si>
  <si>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</si>
  <si>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</si>
  <si>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</si>
  <si>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</si>
  <si>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</si>
  <si>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</si>
  <si>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</si>
  <si>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</si>
  <si>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</si>
  <si>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</si>
  <si>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</si>
  <si>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</si>
  <si>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</si>
  <si>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</si>
  <si>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</si>
  <si>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</si>
  <si>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</si>
  <si>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</si>
  <si>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</si>
  <si>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</si>
  <si>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</si>
  <si>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</si>
  <si>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</si>
  <si>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</si>
  <si>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</si>
  <si>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</si>
  <si>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</si>
  <si>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</si>
  <si>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</si>
  <si>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</si>
  <si>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</si>
  <si>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</si>
  <si>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</si>
  <si>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</si>
  <si>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</si>
  <si>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</si>
  <si>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</si>
  <si>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</si>
  <si>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</si>
  <si>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</si>
  <si>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</si>
  <si>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</si>
  <si>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</si>
  <si>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</si>
  <si>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</si>
  <si>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</si>
  <si>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</si>
  <si>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</si>
  <si>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</si>
  <si>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</si>
  <si>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</si>
  <si>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</si>
  <si>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</si>
  <si>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</si>
  <si>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</si>
  <si>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</si>
  <si>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</si>
  <si>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</si>
  <si>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</si>
  <si>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</si>
  <si>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</si>
  <si>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</si>
  <si>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</si>
  <si>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</si>
  <si>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</si>
  <si>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</si>
  <si>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</si>
  <si>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</si>
  <si>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</si>
  <si>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</si>
  <si>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</si>
  <si>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</si>
  <si>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</si>
  <si>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</si>
  <si>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</si>
  <si>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</si>
  <si>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</si>
  <si>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</si>
  <si>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</si>
  <si>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</si>
  <si>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</si>
  <si>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</si>
  <si>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</si>
  <si>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</si>
  <si>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</si>
  <si>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</si>
  <si>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</si>
  <si>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</si>
  <si>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</si>
  <si>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</si>
  <si>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</si>
  <si>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</si>
  <si>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</si>
  <si>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</si>
  <si>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</si>
  <si>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</si>
  <si>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</si>
  <si>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</si>
  <si>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</si>
  <si>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</si>
  <si>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</si>
  <si>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</si>
  <si>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</si>
  <si>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</si>
  <si>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</si>
  <si>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</si>
  <si>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</si>
  <si>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</si>
  <si>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</si>
  <si>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</si>
  <si>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</si>
  <si>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</si>
  <si>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</si>
  <si>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</si>
  <si>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</si>
  <si>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</si>
  <si>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</si>
  <si>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</si>
  <si>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</si>
  <si>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</si>
  <si>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</si>
  <si>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</si>
  <si>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</si>
  <si>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</si>
  <si>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</si>
  <si>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</si>
  <si>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</si>
  <si>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</si>
  <si>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</si>
  <si>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</si>
  <si>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</si>
  <si>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</si>
  <si>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</si>
  <si>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</si>
  <si>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</si>
  <si>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</si>
  <si>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</si>
  <si>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</si>
  <si>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</si>
  <si>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</si>
  <si>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</si>
  <si>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</si>
  <si>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</si>
  <si>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</si>
  <si>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</si>
  <si>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</si>
  <si>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</si>
  <si>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</si>
  <si>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</si>
  <si>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</si>
  <si>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</si>
  <si>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</si>
  <si>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</si>
  <si>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</si>
  <si>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</si>
  <si>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</si>
  <si>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</si>
  <si>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</si>
  <si>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</si>
  <si>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</si>
  <si>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</si>
  <si>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</si>
  <si>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</si>
  <si>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</si>
  <si>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</si>
  <si>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</si>
  <si>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</si>
  <si>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</si>
  <si>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</si>
  <si>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</si>
  <si>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</si>
  <si>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</si>
  <si>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</si>
  <si>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</si>
  <si>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</si>
  <si>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</si>
  <si>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</si>
  <si>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</si>
  <si>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</si>
  <si>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</si>
  <si>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</si>
  <si>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</si>
  <si>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</si>
  <si>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</si>
  <si>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</si>
  <si>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</si>
  <si>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</si>
  <si>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</si>
  <si>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</si>
  <si>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</si>
  <si>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</si>
  <si>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</si>
  <si>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</si>
  <si>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</si>
  <si>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</si>
  <si>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</si>
  <si>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</si>
  <si>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</si>
  <si>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</si>
  <si>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</si>
  <si>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</si>
  <si>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</si>
  <si>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</si>
  <si>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</si>
  <si>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</si>
  <si>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</si>
  <si>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</si>
  <si>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</si>
  <si>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</si>
  <si>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</si>
  <si>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</si>
  <si>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</si>
  <si>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</si>
  <si>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</si>
  <si>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</si>
  <si>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</si>
  <si>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</si>
  <si>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</si>
  <si>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</si>
  <si>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</si>
  <si>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</si>
  <si>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</si>
  <si>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</si>
  <si>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</si>
  <si>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</si>
  <si>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</si>
  <si>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</si>
  <si>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</si>
  <si>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</si>
  <si>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</si>
  <si>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</si>
  <si>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</si>
  <si>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</si>
  <si>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</si>
  <si>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</si>
  <si>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</si>
  <si>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</si>
  <si>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</si>
  <si>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</si>
  <si>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</si>
  <si>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</si>
  <si>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</si>
  <si>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</si>
  <si>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</si>
  <si>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</si>
  <si>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</si>
  <si>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</si>
  <si>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</si>
  <si>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</si>
  <si>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</si>
  <si>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</si>
  <si>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</si>
  <si>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</si>
  <si>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</si>
  <si>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</si>
  <si>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</si>
  <si>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</si>
  <si>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</si>
  <si>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</si>
  <si>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</si>
  <si>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</si>
  <si>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</si>
  <si>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</si>
  <si>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</si>
  <si>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</si>
  <si>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</si>
  <si>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</si>
  <si>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</si>
  <si>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</si>
  <si>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</si>
  <si>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</si>
  <si>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</si>
  <si>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</si>
  <si>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</si>
  <si>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</si>
  <si>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</si>
  <si>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</si>
  <si>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</si>
  <si>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</si>
  <si>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</si>
  <si>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</si>
  <si>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</si>
  <si>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</si>
  <si>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</si>
  <si>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</si>
  <si>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</si>
  <si>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</si>
  <si>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</si>
  <si>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</si>
  <si>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</si>
  <si>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</si>
  <si>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</si>
  <si>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</si>
  <si>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</si>
  <si>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</si>
  <si>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</si>
  <si>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</si>
  <si>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</si>
  <si>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</si>
  <si>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</si>
  <si>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</si>
  <si>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</si>
  <si>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</si>
  <si>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</si>
  <si>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</si>
  <si>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</si>
  <si>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</si>
  <si>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</si>
  <si>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</si>
  <si>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</si>
  <si>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</si>
  <si>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</si>
  <si>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</si>
  <si>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</si>
  <si>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</si>
  <si>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</si>
  <si>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</si>
  <si>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</si>
  <si>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</si>
  <si>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</si>
  <si>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</si>
  <si>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</si>
  <si>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</si>
  <si>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</si>
  <si>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</si>
  <si>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</si>
  <si>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</si>
  <si>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</si>
  <si>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</si>
  <si>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</si>
  <si>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</si>
  <si>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</si>
  <si>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</si>
  <si>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</si>
  <si>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</si>
  <si>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</si>
  <si>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</si>
  <si>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</si>
  <si>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</si>
  <si>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</si>
  <si>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</si>
  <si>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</si>
  <si>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</si>
  <si>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</si>
  <si>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</si>
  <si>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</si>
  <si>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</si>
  <si>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</si>
  <si>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</si>
  <si>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</si>
  <si>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</si>
  <si>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</si>
  <si>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</si>
  <si>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</si>
  <si>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</si>
  <si>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</si>
  <si>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</si>
  <si>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</si>
  <si>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</si>
  <si>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</si>
  <si>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</si>
  <si>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</si>
  <si>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</si>
  <si>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</si>
  <si>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</si>
  <si>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</si>
  <si>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</si>
  <si>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</si>
  <si>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</si>
  <si>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</si>
  <si>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</si>
  <si>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</si>
  <si>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</si>
  <si>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</si>
  <si>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</si>
  <si>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</si>
  <si>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</si>
  <si>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</si>
  <si>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</si>
  <si>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</si>
  <si>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</si>
  <si>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</si>
  <si>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</si>
  <si>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</si>
  <si>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</si>
  <si>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</si>
  <si>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</si>
  <si>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</si>
  <si>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</si>
  <si>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</si>
  <si>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</si>
  <si>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</si>
  <si>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</si>
  <si>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</si>
  <si>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</si>
  <si>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</si>
  <si>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</si>
  <si>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</si>
  <si>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</si>
  <si>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</si>
  <si>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</si>
  <si>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</si>
  <si>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</si>
  <si>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</si>
  <si>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</si>
  <si>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</si>
  <si>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</si>
  <si>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</si>
  <si>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</si>
  <si>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</si>
  <si>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</si>
  <si>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</si>
  <si>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</si>
  <si>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</si>
  <si>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</si>
  <si>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</si>
  <si>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</si>
  <si>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</si>
  <si>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</si>
  <si>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</si>
  <si>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</si>
  <si>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</si>
  <si>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</si>
  <si>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</si>
  <si>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</si>
  <si>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</si>
  <si>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</si>
  <si>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</si>
  <si>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</si>
  <si>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</si>
  <si>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</si>
  <si>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</si>
  <si>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</si>
  <si>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</si>
  <si>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</si>
  <si>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</si>
  <si>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</si>
  <si>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</si>
  <si>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</si>
  <si>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</si>
  <si>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</si>
  <si>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</si>
  <si>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</si>
  <si>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</si>
  <si>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</si>
  <si>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</si>
  <si>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</si>
  <si>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</si>
  <si>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</si>
  <si>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</si>
  <si>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</si>
  <si>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</si>
  <si>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</si>
  <si>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</si>
  <si>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</si>
  <si>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</si>
  <si>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</si>
  <si>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</si>
  <si>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</si>
  <si>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</si>
  <si>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</si>
  <si>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</si>
  <si>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</si>
  <si>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</si>
  <si>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</si>
  <si>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</si>
  <si>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</si>
  <si>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</si>
  <si>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</si>
  <si>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</si>
  <si>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</si>
  <si>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</si>
  <si>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</si>
  <si>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</si>
  <si>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</si>
  <si>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</si>
  <si>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</si>
  <si>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</si>
  <si>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</si>
  <si>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</si>
  <si>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</si>
  <si>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</si>
  <si>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</si>
  <si>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</si>
  <si>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</si>
  <si>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</si>
  <si>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</si>
  <si>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</si>
  <si>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</si>
  <si>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</si>
  <si>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</si>
  <si>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</si>
  <si>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</si>
  <si>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</si>
  <si>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</si>
  <si>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</si>
  <si>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</si>
  <si>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</si>
  <si>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</si>
  <si>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</si>
  <si>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</si>
  <si>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</si>
  <si>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</si>
  <si>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</si>
  <si>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</si>
  <si>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</si>
  <si>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</si>
  <si>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</si>
  <si>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</si>
  <si>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</si>
  <si>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</si>
  <si>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</si>
  <si>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</si>
  <si>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</si>
  <si>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</si>
  <si>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</si>
  <si>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</si>
  <si>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</si>
  <si>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</si>
  <si>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</si>
  <si>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</si>
  <si>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</si>
  <si>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</si>
  <si>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</si>
  <si>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</si>
  <si>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</si>
  <si>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</si>
  <si>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</si>
  <si>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</si>
  <si>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</si>
  <si>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</si>
  <si>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</si>
  <si>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</si>
  <si>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</si>
  <si>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</si>
  <si>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</si>
  <si>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</si>
  <si>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</si>
  <si>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</si>
  <si>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</si>
  <si>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</si>
  <si>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</si>
  <si>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</si>
  <si>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</si>
  <si>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</si>
  <si>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</si>
  <si>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</si>
  <si>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</si>
  <si>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</si>
  <si>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</si>
  <si>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</si>
  <si>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</si>
  <si>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</si>
  <si>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</si>
  <si>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</si>
  <si>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</si>
  <si>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</si>
  <si>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</si>
  <si>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</si>
  <si>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</si>
  <si>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</si>
  <si>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</si>
  <si>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</si>
  <si>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</si>
  <si>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</si>
  <si>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</si>
  <si>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</si>
  <si>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</si>
  <si>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</si>
  <si>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</si>
  <si>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</si>
  <si>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</si>
  <si>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</si>
  <si>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</si>
  <si>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</si>
  <si>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</si>
  <si>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</si>
  <si>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</si>
  <si>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</si>
  <si>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</si>
  <si>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</si>
  <si>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</si>
  <si>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</si>
  <si>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</si>
  <si>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</si>
  <si>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</si>
  <si>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</si>
  <si>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</si>
  <si>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</si>
  <si>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</si>
  <si>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</si>
  <si>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</si>
  <si>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</si>
  <si>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</si>
  <si>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</si>
  <si>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</si>
  <si>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</si>
  <si>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</si>
  <si>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</si>
  <si>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</si>
  <si>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</si>
  <si>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</si>
  <si>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</si>
  <si>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</si>
  <si>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</si>
  <si>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</si>
  <si>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</si>
  <si>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</si>
  <si>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</si>
  <si>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</si>
  <si>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</si>
  <si>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</si>
  <si>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</si>
  <si>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</si>
  <si>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</si>
  <si>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</si>
  <si>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</si>
  <si>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</si>
  <si>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</si>
  <si>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</si>
  <si>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</si>
  <si>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</si>
  <si>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</si>
  <si>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</si>
  <si>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</si>
  <si>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</si>
  <si>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</si>
  <si>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</si>
  <si>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</si>
  <si>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</si>
  <si>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</si>
  <si>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</si>
  <si>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</si>
  <si>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</si>
  <si>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</si>
  <si>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</si>
  <si>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</si>
  <si>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</si>
  <si>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</si>
  <si>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</si>
  <si>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</si>
  <si>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</si>
  <si>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</si>
  <si>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</si>
  <si>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</si>
  <si>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</si>
  <si>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</si>
  <si>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</si>
  <si>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</si>
  <si>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</si>
  <si>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</si>
  <si>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</si>
  <si>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</si>
  <si>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</si>
  <si>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</si>
  <si>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</si>
  <si>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</si>
  <si>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</si>
  <si>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</si>
  <si>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</si>
  <si>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</si>
  <si>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</si>
  <si>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</si>
  <si>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</si>
  <si>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</si>
  <si>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</si>
  <si>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</si>
  <si>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</si>
  <si>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</si>
  <si>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</si>
  <si>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</si>
  <si>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</si>
  <si>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</si>
  <si>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</si>
  <si>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</si>
  <si>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</si>
  <si>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</si>
  <si>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</si>
  <si>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</si>
  <si>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</si>
  <si>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</si>
  <si>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</si>
  <si>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</si>
  <si>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</si>
  <si>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</si>
  <si>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</si>
  <si>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</si>
  <si>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</si>
  <si>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</si>
  <si>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</si>
  <si>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</si>
  <si>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</si>
  <si>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</si>
  <si>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</si>
  <si>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</si>
  <si>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</si>
  <si>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</si>
  <si>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</si>
  <si>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</si>
  <si>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</si>
  <si>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</si>
  <si>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</si>
  <si>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</si>
  <si>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</si>
  <si>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</si>
  <si>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</si>
  <si>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</si>
  <si>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</si>
  <si>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</si>
  <si>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</si>
  <si>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</si>
  <si>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</si>
  <si>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</si>
  <si>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</si>
  <si>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</si>
  <si>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</si>
  <si>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</si>
  <si>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</si>
  <si>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</si>
  <si>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</si>
  <si>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</si>
  <si>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</si>
  <si>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</si>
  <si>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</si>
  <si>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</si>
  <si>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</si>
  <si>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</si>
  <si>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</si>
  <si>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</si>
  <si>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</si>
  <si>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</si>
  <si>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</si>
  <si>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</si>
  <si>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</si>
  <si>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</si>
  <si>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</si>
  <si>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</si>
  <si>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</si>
  <si>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</si>
  <si>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</si>
  <si>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</si>
  <si>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</si>
  <si>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</si>
  <si>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</si>
  <si>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</si>
  <si>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</si>
  <si>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</si>
  <si>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</si>
  <si>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</si>
  <si>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</si>
  <si>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</si>
  <si>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</si>
  <si>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</si>
  <si>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</si>
  <si>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</si>
  <si>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</si>
  <si>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</si>
  <si>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</si>
  <si>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</si>
  <si>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</si>
  <si>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</si>
  <si>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</si>
  <si>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</si>
  <si>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</si>
  <si>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</si>
  <si>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</si>
  <si>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</si>
  <si>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</si>
  <si>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</si>
  <si>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</si>
  <si>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</si>
  <si>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</si>
  <si>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</si>
  <si>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</si>
  <si>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</si>
  <si>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</si>
  <si>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</si>
  <si>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</si>
  <si>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</si>
  <si>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</si>
  <si>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</si>
  <si>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</si>
  <si>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</si>
  <si>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</si>
  <si>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</si>
  <si>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</si>
  <si>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</si>
  <si>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</si>
  <si>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</si>
  <si>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</si>
  <si>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</si>
  <si>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</si>
  <si>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</si>
  <si>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</si>
  <si>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</si>
  <si>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</si>
  <si>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</si>
  <si>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</si>
  <si>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</si>
  <si>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</si>
  <si>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</si>
  <si>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</si>
  <si>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</si>
  <si>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</si>
  <si>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</si>
  <si>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</si>
  <si>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</si>
  <si>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</si>
  <si>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</si>
  <si>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</si>
  <si>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</si>
  <si>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</si>
  <si>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</si>
  <si>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</si>
  <si>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</si>
  <si>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</si>
  <si>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</si>
  <si>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</si>
  <si>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</si>
  <si>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</si>
  <si>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</si>
  <si>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</si>
  <si>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</si>
  <si>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</si>
  <si>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</si>
  <si>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</si>
  <si>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</si>
  <si>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</si>
  <si>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</si>
  <si>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</si>
  <si>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</si>
  <si>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</si>
  <si>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</si>
  <si>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</si>
  <si>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</si>
  <si>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</si>
  <si>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</si>
  <si>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</si>
  <si>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</si>
  <si>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</si>
  <si>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</si>
  <si>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</si>
  <si>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</si>
  <si>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</si>
  <si>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</si>
  <si>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</si>
  <si>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</si>
  <si>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</si>
  <si>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</si>
  <si>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</si>
  <si>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</si>
  <si>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</si>
  <si>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</si>
  <si>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</si>
  <si>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</si>
  <si>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</si>
  <si>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</si>
  <si>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</si>
  <si>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</si>
  <si>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</si>
  <si>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</si>
  <si>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</si>
  <si>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</si>
  <si>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</si>
  <si>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</si>
  <si>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</si>
  <si>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</si>
  <si>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</si>
  <si>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</si>
  <si>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</si>
  <si>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</si>
  <si>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</si>
  <si>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</si>
  <si>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</si>
  <si>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</si>
  <si>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</si>
  <si>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</si>
  <si>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</si>
  <si>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</si>
  <si>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</si>
  <si>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</si>
  <si>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</si>
  <si>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</si>
  <si>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</si>
  <si>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</si>
  <si>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</si>
  <si>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</si>
  <si>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</si>
  <si>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</si>
  <si>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</si>
  <si>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</si>
  <si>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</si>
  <si>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</si>
  <si>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</si>
  <si>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</si>
  <si>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</si>
  <si>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</si>
  <si>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</si>
  <si>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</si>
  <si>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</si>
  <si>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</si>
  <si>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</si>
  <si>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</si>
  <si>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</si>
  <si>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</si>
  <si>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</si>
  <si>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</si>
  <si>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</si>
  <si>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</si>
  <si>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</si>
  <si>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</si>
  <si>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</si>
  <si>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</si>
  <si>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</si>
  <si>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</si>
  <si>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</si>
  <si>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</si>
  <si>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</si>
  <si>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</si>
  <si>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</si>
  <si>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</si>
  <si>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</si>
  <si>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</si>
  <si>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</si>
  <si>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</si>
  <si>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</si>
  <si>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</si>
  <si>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</si>
  <si>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</si>
  <si>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</si>
  <si>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</si>
  <si>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</si>
  <si>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</si>
  <si>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</si>
  <si>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</si>
  <si>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</si>
  <si>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</si>
  <si>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</si>
  <si>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</si>
  <si>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</si>
  <si>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</si>
  <si>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</si>
  <si>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</si>
  <si>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</si>
  <si>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</si>
  <si>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</si>
  <si>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</si>
  <si>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</si>
  <si>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</si>
  <si>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</si>
  <si>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</si>
  <si>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</si>
  <si>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</si>
  <si>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</si>
  <si>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</si>
  <si>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</si>
  <si>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</si>
  <si>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</si>
  <si>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</si>
  <si>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</si>
  <si>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</si>
  <si>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</si>
  <si>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</si>
  <si>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</si>
  <si>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</si>
  <si>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</si>
  <si>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</si>
  <si>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</si>
  <si>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</si>
  <si>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</si>
  <si>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</si>
  <si>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</si>
  <si>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</si>
  <si>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</si>
  <si>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</si>
  <si>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</si>
  <si>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</si>
  <si>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</si>
  <si>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</si>
  <si>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</si>
  <si>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</si>
  <si>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</si>
  <si>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</si>
  <si>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</si>
  <si>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</si>
  <si>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</si>
  <si>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</si>
  <si>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</si>
  <si>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</si>
  <si>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</si>
  <si>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</si>
  <si>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</si>
  <si>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</si>
  <si>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</si>
  <si>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</si>
  <si>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</si>
  <si>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</si>
  <si>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</si>
  <si>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</si>
  <si>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</si>
  <si>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</si>
  <si>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</si>
  <si>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</si>
  <si>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</si>
  <si>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</si>
  <si>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</si>
  <si>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</si>
  <si>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</si>
  <si>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</si>
  <si>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</si>
  <si>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</si>
  <si>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</si>
  <si>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</si>
  <si>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</si>
  <si>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</si>
  <si>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</si>
  <si>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</si>
  <si>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</si>
  <si>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</si>
  <si>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</si>
  <si>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</si>
  <si>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</si>
  <si>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</si>
  <si>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</si>
  <si>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</si>
  <si>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</si>
  <si>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</si>
  <si>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</si>
  <si>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</si>
  <si>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</si>
  <si>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</si>
  <si>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</si>
  <si>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</si>
  <si>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</si>
  <si>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</si>
  <si>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</si>
  <si>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</si>
  <si>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</si>
  <si>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</si>
  <si>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</si>
  <si>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</si>
  <si>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</si>
  <si>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</si>
  <si>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</si>
  <si>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</si>
  <si>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</si>
  <si>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</si>
  <si>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</si>
  <si>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</si>
  <si>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</si>
  <si>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</si>
  <si>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</si>
  <si>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</si>
  <si>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</si>
  <si>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</si>
  <si>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</si>
  <si>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</si>
  <si>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</si>
  <si>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</si>
  <si>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</si>
  <si>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</si>
  <si>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</si>
  <si>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</si>
  <si>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</si>
  <si>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</si>
  <si>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</si>
  <si>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</si>
  <si>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</si>
  <si>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</si>
  <si>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</si>
  <si>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</si>
  <si>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</si>
  <si>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</si>
  <si>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</si>
  <si>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</si>
  <si>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</si>
  <si>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</si>
  <si>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</si>
  <si>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</si>
  <si>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</si>
  <si>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</si>
  <si>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</si>
  <si>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</si>
  <si>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</si>
  <si>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</si>
  <si>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</si>
  <si>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</si>
  <si>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</si>
  <si>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</si>
  <si>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</si>
  <si>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</si>
  <si>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</si>
  <si>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</si>
  <si>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</si>
  <si>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</si>
  <si>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</si>
  <si>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</si>
  <si>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</si>
  <si>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</si>
  <si>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</si>
  <si>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</si>
  <si>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</si>
  <si>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</si>
  <si>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</si>
  <si>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</si>
  <si>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</si>
  <si>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</si>
  <si>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</si>
  <si>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</si>
  <si>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</si>
  <si>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</si>
  <si>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</si>
  <si>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</si>
  <si>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</si>
  <si>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</si>
  <si>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</si>
  <si>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</si>
  <si>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</si>
  <si>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</si>
  <si>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</si>
  <si>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</si>
  <si>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</si>
  <si>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</si>
  <si>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</si>
  <si>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</si>
  <si>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</si>
  <si>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</si>
  <si>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</si>
  <si>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</si>
  <si>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</si>
  <si>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</si>
  <si>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</si>
  <si>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</si>
  <si>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</si>
  <si>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</si>
  <si>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</si>
  <si>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</si>
  <si>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</si>
  <si>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</si>
  <si>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</si>
  <si>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</si>
  <si>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</si>
  <si>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</si>
  <si>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</si>
  <si>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</si>
  <si>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</si>
  <si>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</si>
  <si>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</si>
  <si>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</si>
  <si>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</si>
  <si>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</si>
  <si>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</si>
  <si>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</si>
  <si>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</si>
  <si>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</si>
  <si>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</si>
  <si>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</si>
  <si>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</si>
  <si>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</si>
  <si>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</si>
  <si>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</si>
  <si>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</si>
  <si>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</si>
  <si>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</si>
  <si>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</si>
  <si>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</si>
  <si>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</si>
  <si>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</si>
  <si>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</si>
  <si>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</si>
  <si>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</si>
  <si>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</si>
  <si>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</si>
  <si>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</si>
  <si>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</si>
  <si>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</si>
  <si>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</si>
  <si>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</si>
  <si>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</si>
  <si>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</si>
  <si>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</si>
  <si>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</si>
  <si>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</si>
  <si>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</si>
  <si>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</si>
  <si>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</si>
  <si>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</si>
  <si>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</si>
  <si>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</si>
  <si>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</si>
  <si>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</si>
  <si>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</si>
  <si>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</si>
  <si>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</si>
  <si>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</si>
  <si>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</si>
  <si>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</si>
  <si>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</si>
  <si>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</si>
  <si>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</si>
  <si>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</si>
  <si>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</si>
  <si>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</si>
  <si>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</si>
  <si>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</si>
  <si>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</si>
  <si>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</si>
  <si>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</si>
  <si>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</si>
  <si>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</si>
  <si>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</si>
  <si>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</si>
  <si>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</si>
  <si>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</si>
  <si>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</si>
  <si>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</si>
  <si>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</si>
  <si>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</si>
  <si>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</si>
  <si>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</si>
  <si>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</si>
  <si>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</si>
  <si>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</si>
  <si>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</si>
  <si>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</si>
  <si>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</si>
  <si>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</si>
  <si>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</si>
  <si>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</si>
  <si>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</si>
  <si>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</si>
  <si>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</si>
  <si>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</si>
  <si>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</si>
  <si>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</si>
  <si>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</si>
  <si>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</si>
  <si>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</si>
  <si>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</si>
  <si>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</si>
  <si>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</si>
  <si>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</si>
  <si>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</si>
  <si>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</si>
  <si>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</si>
  <si>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</si>
  <si>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</si>
  <si>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</si>
  <si>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</si>
  <si>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</si>
  <si>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</si>
  <si>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</si>
  <si>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</si>
  <si>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</si>
  <si>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</si>
  <si>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</si>
  <si>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</si>
  <si>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</si>
  <si>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</si>
  <si>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</si>
  <si>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</si>
  <si>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</si>
  <si>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</si>
  <si>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</si>
  <si>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</si>
  <si>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</si>
  <si>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</si>
  <si>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</si>
  <si>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</si>
  <si>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</si>
  <si>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</si>
  <si>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</si>
  <si>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</si>
  <si>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</si>
  <si>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</si>
  <si>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</si>
  <si>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</si>
  <si>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</si>
  <si>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</si>
  <si>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</si>
  <si>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</si>
  <si>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</si>
  <si>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</si>
  <si>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</si>
  <si>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</si>
  <si>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</si>
  <si>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</si>
  <si>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</si>
  <si>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</si>
  <si>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</si>
  <si>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</si>
  <si>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</si>
  <si>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</si>
  <si>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</si>
  <si>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</si>
  <si>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</si>
  <si>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</si>
  <si>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</si>
  <si>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</si>
  <si>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</si>
  <si>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</si>
  <si>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</si>
  <si>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</si>
  <si>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</si>
  <si>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</si>
  <si>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</si>
  <si>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</si>
  <si>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</si>
  <si>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</si>
  <si>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</si>
  <si>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</si>
  <si>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</si>
  <si>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</si>
  <si>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</si>
  <si>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</si>
  <si>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</si>
  <si>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</si>
  <si>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</si>
  <si>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</si>
  <si>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</si>
  <si>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</si>
  <si>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</si>
  <si>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</si>
  <si>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</si>
  <si>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</si>
  <si>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</si>
  <si>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</si>
  <si>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</si>
  <si>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</si>
  <si>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</si>
  <si>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</si>
  <si>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</si>
  <si>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</si>
  <si>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</si>
  <si>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</si>
  <si>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</si>
  <si>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</si>
  <si>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</si>
  <si>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</si>
  <si>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</si>
  <si>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</si>
  <si>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</si>
  <si>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</si>
  <si>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</si>
  <si>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</si>
  <si>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</si>
  <si>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</si>
  <si>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</si>
  <si>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</si>
  <si>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</si>
  <si>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</si>
  <si>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</si>
  <si>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</si>
  <si>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</si>
  <si>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</si>
  <si>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</si>
  <si>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</si>
  <si>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</si>
  <si>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</si>
  <si>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</si>
  <si>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</si>
  <si>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</si>
  <si>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</si>
  <si>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</si>
  <si>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</si>
  <si>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</si>
  <si>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</si>
  <si>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</si>
  <si>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</si>
  <si>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</si>
  <si>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</si>
  <si>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</si>
  <si>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</si>
  <si>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</si>
  <si>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</si>
  <si>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</si>
  <si>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</si>
  <si>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</si>
  <si>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</si>
  <si>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</si>
  <si>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</si>
  <si>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</si>
  <si>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</si>
  <si>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</si>
  <si>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</si>
  <si>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</si>
  <si>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</si>
  <si>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</si>
  <si>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</si>
  <si>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</si>
  <si>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</si>
  <si>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</si>
  <si>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</si>
  <si>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</si>
  <si>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</si>
  <si>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</si>
  <si>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</si>
  <si>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</si>
  <si>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</si>
  <si>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</si>
  <si>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</si>
  <si>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</si>
  <si>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</si>
  <si>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</si>
  <si>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</si>
  <si>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</si>
  <si>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</si>
  <si>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</si>
  <si>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</si>
  <si>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</si>
  <si>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</si>
  <si>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</si>
  <si>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</si>
  <si>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</si>
  <si>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</si>
  <si>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</si>
  <si>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</si>
  <si>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</si>
  <si>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</si>
  <si>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</si>
  <si>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</si>
  <si>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</si>
  <si>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</si>
  <si>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</si>
  <si>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</si>
  <si>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</si>
  <si>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</si>
  <si>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</si>
  <si>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</si>
  <si>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</si>
  <si>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</si>
  <si>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</si>
  <si>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</si>
  <si>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</si>
  <si>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</si>
  <si>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</si>
  <si>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</si>
  <si>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</si>
  <si>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</si>
  <si>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</si>
  <si>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</si>
  <si>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</si>
  <si>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</si>
  <si>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</si>
  <si>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</si>
  <si>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</si>
  <si>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</si>
  <si>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</si>
  <si>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</si>
  <si>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</si>
  <si>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</si>
  <si>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</si>
  <si>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</si>
  <si>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</si>
  <si>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</si>
  <si>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</si>
  <si>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</si>
  <si>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</si>
  <si>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</si>
  <si>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</si>
  <si>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</si>
  <si>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</si>
  <si>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</si>
  <si>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</si>
  <si>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</si>
  <si>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</si>
  <si>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</si>
  <si>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</si>
  <si>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</si>
  <si>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</si>
  <si>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</si>
  <si>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</si>
  <si>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</si>
  <si>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</si>
  <si>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</si>
  <si>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</si>
  <si>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</si>
  <si>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</si>
  <si>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</si>
  <si>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</si>
  <si>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</si>
  <si>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</si>
  <si>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</si>
  <si>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</si>
  <si>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</si>
  <si>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</si>
  <si>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</si>
  <si>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</si>
  <si>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</si>
  <si>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</si>
  <si>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</si>
  <si>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</si>
  <si>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</si>
  <si>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</si>
  <si>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</si>
  <si>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</si>
  <si>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</si>
  <si>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</si>
  <si>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</si>
  <si>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</si>
  <si>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</si>
  <si>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</si>
  <si>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</si>
  <si>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</si>
  <si>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</si>
  <si>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</si>
  <si>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</si>
  <si>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</si>
  <si>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</si>
  <si>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</si>
  <si>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</si>
  <si>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</si>
  <si>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</si>
  <si>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</si>
  <si>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</si>
  <si>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</si>
  <si>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</si>
  <si>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</si>
  <si>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</si>
  <si>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</si>
  <si>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</si>
  <si>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</si>
  <si>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</si>
  <si>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</si>
  <si>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</si>
  <si>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</si>
  <si>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</si>
  <si>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</si>
  <si>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</si>
  <si>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</si>
  <si>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</si>
  <si>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</si>
  <si>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</si>
  <si>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</si>
  <si>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</si>
  <si>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</si>
  <si>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</si>
  <si>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</si>
  <si>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</si>
  <si>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</si>
  <si>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</si>
  <si>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</si>
  <si>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</si>
  <si>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</si>
  <si>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</si>
  <si>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</si>
  <si>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</si>
  <si>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</si>
  <si>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</si>
  <si>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</si>
  <si>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</si>
  <si>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</si>
  <si>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</si>
  <si>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</si>
  <si>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</si>
  <si>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</si>
  <si>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</si>
  <si>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</si>
  <si>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</si>
  <si>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</si>
  <si>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</si>
  <si>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</si>
  <si>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</si>
  <si>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</si>
  <si>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</si>
  <si>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</si>
  <si>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</si>
  <si>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</si>
  <si>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</si>
  <si>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</si>
  <si>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</si>
  <si>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</si>
  <si>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</si>
  <si>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</si>
  <si>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</si>
  <si>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</si>
  <si>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</si>
  <si>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</si>
  <si>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</si>
  <si>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</si>
  <si>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</si>
  <si>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</si>
  <si>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</si>
  <si>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</si>
  <si>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</si>
  <si>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</si>
  <si>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</si>
  <si>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</si>
  <si>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</si>
  <si>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</si>
  <si>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</si>
  <si>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</si>
  <si>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</si>
  <si>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</si>
  <si>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</si>
  <si>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</si>
  <si>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</si>
  <si>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</si>
  <si>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</si>
  <si>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</si>
  <si>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</si>
  <si>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</si>
  <si>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</si>
  <si>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</si>
  <si>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</si>
  <si>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</si>
  <si>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</si>
  <si>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</si>
  <si>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</si>
  <si>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</si>
  <si>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</si>
  <si>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</si>
  <si>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</si>
  <si>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</si>
  <si>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</si>
  <si>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</si>
  <si>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</si>
  <si>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</si>
  <si>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</si>
  <si>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</si>
  <si>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</si>
  <si>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</si>
  <si>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</si>
  <si>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</si>
  <si>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</si>
  <si>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</si>
  <si>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</si>
  <si>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</si>
  <si>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</si>
  <si>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</si>
  <si>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</si>
  <si>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</si>
  <si>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</si>
  <si>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</si>
  <si>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</si>
  <si>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</si>
  <si>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</si>
  <si>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</si>
  <si>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</si>
  <si>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</si>
  <si>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</si>
  <si>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</si>
  <si>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</si>
  <si>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</si>
  <si>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</si>
  <si>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</si>
  <si>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</si>
  <si>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</si>
  <si>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</si>
  <si>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</si>
  <si>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</si>
  <si>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</si>
  <si>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</si>
  <si>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</si>
  <si>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</si>
  <si>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</si>
  <si>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</si>
  <si>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</si>
  <si>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</si>
  <si>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</si>
  <si>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</si>
  <si>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</si>
  <si>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</si>
  <si>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</si>
  <si>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</si>
  <si>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</si>
  <si>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</si>
  <si>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</si>
  <si>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</si>
  <si>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</si>
  <si>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</si>
  <si>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</si>
  <si>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</si>
  <si>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</si>
  <si>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</si>
  <si>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</si>
  <si>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</si>
  <si>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</si>
  <si>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</si>
  <si>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</si>
  <si>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</si>
  <si>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</si>
  <si>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</si>
  <si>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</si>
  <si>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</si>
  <si>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</si>
  <si>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</si>
  <si>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</si>
  <si>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</si>
  <si>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</si>
  <si>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</si>
  <si>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</si>
  <si>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</si>
  <si>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</si>
  <si>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</si>
  <si>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</si>
  <si>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</si>
  <si>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</si>
  <si>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</si>
  <si>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</si>
  <si>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</si>
  <si>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</si>
  <si>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</si>
  <si>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</si>
  <si>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</si>
  <si>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</si>
  <si>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</si>
  <si>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</si>
  <si>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</si>
  <si>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</si>
  <si>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</si>
  <si>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</si>
  <si>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</si>
  <si>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</si>
  <si>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</si>
  <si>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</si>
  <si>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</si>
  <si>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</si>
  <si>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</si>
  <si>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</si>
  <si>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</si>
  <si>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</si>
  <si>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</si>
  <si>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</si>
  <si>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</si>
  <si>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</si>
  <si>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</si>
  <si>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</si>
  <si>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</si>
  <si>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</si>
  <si>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</si>
  <si>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</si>
  <si>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</si>
  <si>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</si>
  <si>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</si>
  <si>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</si>
  <si>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</si>
  <si>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</si>
  <si>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</si>
  <si>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</si>
  <si>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</si>
  <si>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</si>
  <si>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</si>
  <si>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</si>
  <si>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</si>
  <si>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</si>
  <si>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</si>
  <si>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</si>
  <si>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</si>
  <si>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</si>
  <si>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</si>
  <si>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</si>
  <si>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</si>
  <si>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</si>
  <si>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</si>
  <si>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</si>
  <si>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</si>
  <si>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</si>
  <si>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</si>
  <si>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</si>
  <si>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</si>
  <si>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</si>
  <si>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</si>
  <si>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</si>
  <si>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</si>
  <si>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</si>
  <si>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</si>
  <si>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</si>
  <si>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</si>
  <si>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</si>
  <si>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</si>
  <si>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</si>
  <si>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</si>
  <si>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</si>
  <si>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</si>
  <si>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</si>
  <si>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</si>
  <si>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</si>
  <si>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</si>
  <si>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</si>
  <si>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</si>
  <si>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</si>
  <si>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</si>
  <si>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</si>
  <si>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</si>
  <si>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</si>
  <si>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</si>
  <si>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</si>
  <si>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</si>
  <si>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</si>
  <si>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</si>
  <si>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</si>
  <si>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</si>
  <si>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</si>
  <si>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</si>
  <si>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</si>
  <si>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</si>
  <si>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</si>
  <si>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</si>
  <si>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</si>
  <si>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</si>
  <si>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</si>
  <si>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</si>
  <si>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</si>
  <si>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</si>
  <si>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</si>
  <si>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</si>
  <si>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</si>
  <si>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</si>
  <si>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</si>
  <si>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</si>
  <si>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</si>
  <si>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</si>
  <si>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</si>
  <si>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</si>
  <si>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</si>
  <si>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</si>
  <si>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</si>
  <si>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</si>
  <si>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</si>
  <si>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</si>
  <si>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</si>
  <si>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</si>
  <si>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</si>
  <si>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</si>
  <si>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</si>
  <si>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</si>
  <si>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</si>
  <si>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</si>
  <si>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</si>
  <si>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</si>
  <si>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</si>
  <si>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</si>
  <si>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</si>
  <si>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</si>
  <si>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</si>
  <si>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</si>
  <si>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</si>
  <si>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</si>
  <si>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</si>
  <si>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</si>
  <si>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</si>
  <si>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</si>
  <si>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</si>
  <si>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</si>
  <si>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</si>
  <si>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</si>
  <si>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</si>
  <si>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</si>
  <si>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</si>
  <si>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</si>
  <si>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</si>
  <si>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</si>
  <si>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</si>
  <si>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</si>
  <si>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</si>
  <si>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</si>
  <si>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</si>
  <si>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</si>
  <si>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</si>
  <si>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</si>
  <si>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</si>
  <si>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</si>
  <si>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</si>
  <si>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</si>
  <si>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</si>
  <si>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</si>
  <si>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</si>
  <si>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</si>
  <si>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</si>
  <si>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</si>
  <si>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</si>
  <si>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</si>
  <si>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</si>
  <si>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</si>
  <si>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</si>
  <si>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</si>
  <si>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</si>
  <si>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</si>
  <si>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</si>
  <si>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</si>
  <si>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</si>
  <si>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</si>
  <si>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</si>
  <si>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</si>
  <si>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</si>
  <si>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</si>
  <si>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</si>
  <si>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</si>
  <si>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</si>
  <si>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</si>
  <si>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</si>
  <si>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</si>
  <si>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</si>
  <si>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</si>
  <si>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</si>
  <si>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</si>
  <si>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</si>
  <si>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</si>
  <si>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</si>
  <si>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</si>
  <si>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</si>
  <si>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</si>
  <si>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</si>
  <si>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</si>
  <si>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</si>
  <si>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</si>
  <si>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</si>
  <si>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</si>
  <si>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</si>
  <si>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</si>
  <si>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</si>
  <si>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</si>
  <si>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</si>
  <si>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</si>
  <si>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</si>
  <si>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</si>
  <si>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</si>
  <si>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</si>
  <si>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</si>
  <si>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</si>
  <si>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</si>
  <si>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</si>
  <si>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</si>
  <si>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</si>
  <si>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</si>
  <si>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</si>
  <si>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</si>
  <si>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</si>
  <si>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</si>
  <si>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</si>
  <si>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</si>
  <si>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</si>
  <si>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</si>
  <si>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</si>
  <si>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</si>
  <si>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</si>
  <si>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</si>
  <si>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</si>
  <si>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</si>
  <si>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</si>
  <si>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</si>
  <si>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</si>
  <si>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</si>
  <si>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</si>
  <si>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</si>
  <si>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</si>
  <si>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</si>
  <si>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</si>
  <si>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</si>
  <si>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</si>
  <si>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</si>
  <si>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</si>
  <si>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</si>
  <si>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</si>
  <si>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</si>
  <si>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</si>
  <si>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</si>
  <si>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</si>
  <si>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</si>
  <si>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</si>
  <si>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</si>
  <si>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</si>
  <si>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</si>
  <si>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</si>
  <si>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</si>
  <si>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</si>
  <si>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</si>
  <si>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</si>
  <si>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</si>
  <si>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</si>
  <si>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</si>
  <si>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</si>
  <si>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</si>
  <si>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</si>
  <si>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</si>
  <si>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</si>
  <si>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</si>
  <si>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</si>
  <si>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</si>
  <si>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</si>
  <si>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</si>
  <si>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</si>
  <si>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</si>
  <si>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</si>
  <si>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</si>
  <si>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</si>
  <si>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</si>
  <si>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</si>
  <si>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</si>
  <si>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</si>
  <si>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</si>
  <si>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</si>
  <si>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</si>
  <si>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</si>
  <si>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</si>
  <si>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</si>
  <si>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</si>
  <si>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</si>
  <si>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</si>
  <si>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</si>
  <si>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</si>
  <si>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</si>
  <si>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</si>
  <si>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</si>
  <si>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</si>
  <si>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</si>
  <si>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</si>
  <si>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</si>
  <si>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</si>
  <si>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</si>
  <si>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</si>
  <si>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</si>
  <si>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</si>
  <si>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</si>
  <si>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</si>
  <si>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</si>
  <si>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</si>
  <si>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</si>
  <si>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</si>
  <si>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</si>
  <si>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</si>
  <si>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</si>
  <si>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</si>
  <si>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</si>
  <si>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</si>
  <si>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</si>
  <si>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</si>
  <si>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</si>
  <si>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</si>
  <si>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</si>
  <si>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</si>
  <si>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</si>
  <si>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</si>
  <si>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</si>
  <si>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</si>
  <si>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</si>
  <si>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</si>
  <si>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</si>
  <si>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</si>
  <si>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</si>
  <si>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</si>
  <si>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</si>
  <si>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</si>
  <si>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</si>
  <si>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</si>
  <si>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</si>
  <si>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</si>
  <si>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</si>
  <si>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</si>
  <si>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</si>
  <si>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</si>
  <si>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</si>
  <si>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</si>
  <si>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</si>
  <si>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</si>
  <si>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</si>
  <si>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</si>
  <si>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</si>
  <si>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</si>
  <si>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</si>
  <si>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</si>
  <si>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</si>
  <si>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</si>
  <si>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</si>
  <si>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</si>
  <si>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</si>
  <si>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</si>
  <si>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</si>
  <si>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</si>
  <si>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</si>
  <si>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</si>
  <si>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</si>
  <si>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</si>
  <si>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</si>
  <si>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</si>
  <si>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</si>
  <si>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</si>
  <si>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</si>
  <si>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</si>
  <si>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</si>
  <si>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</si>
  <si>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</si>
  <si>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</si>
  <si>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</si>
  <si>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</si>
  <si>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</si>
  <si>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</si>
  <si>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</si>
  <si>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</si>
  <si>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</si>
  <si>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</si>
  <si>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</si>
  <si>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</si>
  <si>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</si>
  <si>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</si>
  <si>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</si>
  <si>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</si>
  <si>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</si>
  <si>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</si>
  <si>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</si>
  <si>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</si>
  <si>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</si>
  <si>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</si>
  <si>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</si>
  <si>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</si>
  <si>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</si>
  <si>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</si>
  <si>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</si>
  <si>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</si>
  <si>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</si>
  <si>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</si>
  <si>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</si>
  <si>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</si>
  <si>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</si>
  <si>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</si>
  <si>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</si>
  <si>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</si>
  <si>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</si>
  <si>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</si>
  <si>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</si>
  <si>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</si>
  <si>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</si>
  <si>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</si>
  <si>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</si>
  <si>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</si>
  <si>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</si>
  <si>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</si>
  <si>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</si>
  <si>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</si>
  <si>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</si>
  <si>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</si>
  <si>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</si>
  <si>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</si>
  <si>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</si>
  <si>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</si>
  <si>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</si>
  <si>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</si>
  <si>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</si>
  <si>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</si>
  <si>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</si>
  <si>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</si>
  <si>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</si>
  <si>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</si>
  <si>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</si>
  <si>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</si>
  <si>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</si>
  <si>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</si>
  <si>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</si>
  <si>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</si>
  <si>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</si>
  <si>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</si>
  <si>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</si>
  <si>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</si>
  <si>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</si>
  <si>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</si>
  <si>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</si>
  <si>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</si>
  <si>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</si>
  <si>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</si>
  <si>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</si>
  <si>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</si>
  <si>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</si>
  <si>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</si>
  <si>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</si>
  <si>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</si>
  <si>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</si>
  <si>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</si>
  <si>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</si>
  <si>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</si>
  <si>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</si>
  <si>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</si>
  <si>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</si>
  <si>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</si>
  <si>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</si>
  <si>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</si>
  <si>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</si>
  <si>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</si>
  <si>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</si>
  <si>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</si>
  <si>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</si>
  <si>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</si>
  <si>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</si>
  <si>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</si>
  <si>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</si>
  <si>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</si>
  <si>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</si>
  <si>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</si>
  <si>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</si>
  <si>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</si>
  <si>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</si>
  <si>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</si>
  <si>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</si>
  <si>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</si>
  <si>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</si>
  <si>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</si>
  <si>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</si>
  <si>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</si>
  <si>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</si>
  <si>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</si>
  <si>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</si>
  <si>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</si>
  <si>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</si>
  <si>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</si>
  <si>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</si>
  <si>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</si>
  <si>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</si>
  <si>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</si>
  <si>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</si>
  <si>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</si>
  <si>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</si>
  <si>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</si>
  <si>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</si>
  <si>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</si>
  <si>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</si>
  <si>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</si>
  <si>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</si>
  <si>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</si>
  <si>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</si>
  <si>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</si>
  <si>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</si>
  <si>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</si>
  <si>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</si>
  <si>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</si>
  <si>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</si>
  <si>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</si>
  <si>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</si>
  <si>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</si>
  <si>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</si>
  <si>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</si>
  <si>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</si>
  <si>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</si>
  <si>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</si>
  <si>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</si>
  <si>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</si>
  <si>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</si>
  <si>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</si>
  <si>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</si>
  <si>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</si>
  <si>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</si>
  <si>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</si>
  <si>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</si>
  <si>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</si>
  <si>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</si>
  <si>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</si>
  <si>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</si>
  <si>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</si>
  <si>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</si>
  <si>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</si>
  <si>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</si>
  <si>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</si>
  <si>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</si>
  <si>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</si>
  <si>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</si>
  <si>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</si>
  <si>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</si>
  <si>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</si>
  <si>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</si>
  <si>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</si>
  <si>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</si>
  <si>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</si>
  <si>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</si>
  <si>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</si>
  <si>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</si>
  <si>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</si>
  <si>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</si>
  <si>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</si>
  <si>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</si>
  <si>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</si>
  <si>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</si>
  <si>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</si>
  <si>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</si>
  <si>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</si>
  <si>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</si>
  <si>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</si>
  <si>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</si>
  <si>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</si>
  <si>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</si>
  <si>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</si>
  <si>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</si>
  <si>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</si>
  <si>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</si>
  <si>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</si>
  <si>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</si>
  <si>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</si>
  <si>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</si>
  <si>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</si>
  <si>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</si>
  <si>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</si>
  <si>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</si>
  <si>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</si>
  <si>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</si>
  <si>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</si>
  <si>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</si>
  <si>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</si>
  <si>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</si>
  <si>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</si>
  <si>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</si>
  <si>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</si>
  <si>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</si>
  <si>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</si>
  <si>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</si>
  <si>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</si>
  <si>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</si>
  <si>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</si>
  <si>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</si>
  <si>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</si>
  <si>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</si>
  <si>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</si>
  <si>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</si>
  <si>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</si>
  <si>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</si>
  <si>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</si>
  <si>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</si>
  <si>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</si>
  <si>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</si>
  <si>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</si>
  <si>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</si>
  <si>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</si>
  <si>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</si>
  <si>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</si>
  <si>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</si>
  <si>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</si>
  <si>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</si>
  <si>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</si>
  <si>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</si>
  <si>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</si>
  <si>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</si>
  <si>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</si>
  <si>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</si>
  <si>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</si>
  <si>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</si>
  <si>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</si>
  <si>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</si>
  <si>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</si>
  <si>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</si>
  <si>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</si>
  <si>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</si>
  <si>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</si>
  <si>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</si>
  <si>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</si>
  <si>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</si>
  <si>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</si>
  <si>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</si>
  <si>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</si>
  <si>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</si>
  <si>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</si>
  <si>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</si>
  <si>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</si>
  <si>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</si>
  <si>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</si>
  <si>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</si>
  <si>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</si>
  <si>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</si>
  <si>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</si>
  <si>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</si>
  <si>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</si>
  <si>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</si>
  <si>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</si>
  <si>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</si>
  <si>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</si>
  <si>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</si>
  <si>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</si>
  <si>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</si>
  <si>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</si>
  <si>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</si>
  <si>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</si>
  <si>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</si>
  <si>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</si>
  <si>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</si>
  <si>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</si>
  <si>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</si>
  <si>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</si>
  <si>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</si>
  <si>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</si>
  <si>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</si>
  <si>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</si>
  <si>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</si>
  <si>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</si>
  <si>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</si>
  <si>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</si>
  <si>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</si>
  <si>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</si>
  <si>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</si>
  <si>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</si>
  <si>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</si>
  <si>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</si>
  <si>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</si>
  <si>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</si>
  <si>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</si>
  <si>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</si>
  <si>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</si>
  <si>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</si>
  <si>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</si>
  <si>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</si>
  <si>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</si>
  <si>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</si>
  <si>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</si>
  <si>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</si>
  <si>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</si>
  <si>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</si>
  <si>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</si>
  <si>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</si>
  <si>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</si>
  <si>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</si>
  <si>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</si>
  <si>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</si>
  <si>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</si>
  <si>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</si>
  <si>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</si>
  <si>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</si>
  <si>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</si>
  <si>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</si>
  <si>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</si>
  <si>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</si>
  <si>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</si>
  <si>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</si>
  <si>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</si>
  <si>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</si>
  <si>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</si>
  <si>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</si>
  <si>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</si>
  <si>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</si>
  <si>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</si>
  <si>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</si>
  <si>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</si>
  <si>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</si>
  <si>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</si>
  <si>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</si>
  <si>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</si>
  <si>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</si>
  <si>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</si>
  <si>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</si>
  <si>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</si>
  <si>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</si>
  <si>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</si>
  <si>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</si>
  <si>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</si>
  <si>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</si>
  <si>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</si>
  <si>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</si>
  <si>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</si>
  <si>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</si>
  <si>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</si>
  <si>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</si>
  <si>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</si>
  <si>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</si>
  <si>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</si>
  <si>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</si>
  <si>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</si>
  <si>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</si>
  <si>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</si>
  <si>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</si>
  <si>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</si>
  <si>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</si>
  <si>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</si>
  <si>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</si>
  <si>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</si>
  <si>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</si>
  <si>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</si>
  <si>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</si>
  <si>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</si>
  <si>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</si>
  <si>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</si>
  <si>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</si>
  <si>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</si>
  <si>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</si>
  <si>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</si>
  <si>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</si>
  <si>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</si>
  <si>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</si>
  <si>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</si>
  <si>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</si>
  <si>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</si>
  <si>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</si>
  <si>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</si>
  <si>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</si>
  <si>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</si>
  <si>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</si>
  <si>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</si>
  <si>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</si>
  <si>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</si>
  <si>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</si>
  <si>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</si>
  <si>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</si>
  <si>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</si>
  <si>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</si>
  <si>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</si>
  <si>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</si>
  <si>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</si>
  <si>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</si>
  <si>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</si>
  <si>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</si>
  <si>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</si>
  <si>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</si>
  <si>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</si>
  <si>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</si>
  <si>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</si>
  <si>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</si>
  <si>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</si>
  <si>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</si>
  <si>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</si>
  <si>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</si>
  <si>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</si>
  <si>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</si>
  <si>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</si>
  <si>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</si>
  <si>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</si>
  <si>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</si>
  <si>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</si>
  <si>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</si>
  <si>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</si>
  <si>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</si>
  <si>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</si>
  <si>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</si>
  <si>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</si>
  <si>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</si>
  <si>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</si>
  <si>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</si>
  <si>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</si>
  <si>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</si>
  <si>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</si>
  <si>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</si>
  <si>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</si>
  <si>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</si>
  <si>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</si>
  <si>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</si>
  <si>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</si>
  <si>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</si>
  <si>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</si>
  <si>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</si>
  <si>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</si>
  <si>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</si>
  <si>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</si>
  <si>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</si>
  <si>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</si>
  <si>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</si>
  <si>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</si>
  <si>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</si>
  <si>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</si>
  <si>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</si>
  <si>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</si>
  <si>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</si>
  <si>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</si>
  <si>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</si>
  <si>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</si>
  <si>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</si>
  <si>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</si>
  <si>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</si>
  <si>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</si>
  <si>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</si>
  <si>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</si>
  <si>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</si>
  <si>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</si>
  <si>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</si>
  <si>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</si>
  <si>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</si>
  <si>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</si>
  <si>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</si>
  <si>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</si>
  <si>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</si>
  <si>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</si>
  <si>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</si>
  <si>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</si>
  <si>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</si>
  <si>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</si>
  <si>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</si>
  <si>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</si>
  <si>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</si>
  <si>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</si>
  <si>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</si>
  <si>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</si>
  <si>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</si>
  <si>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</si>
  <si>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</si>
  <si>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</si>
  <si>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</si>
  <si>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</si>
  <si>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</si>
  <si>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</si>
  <si>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</si>
  <si>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</si>
  <si>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</si>
  <si>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</si>
  <si>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</si>
  <si>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</si>
  <si>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</si>
  <si>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</si>
  <si>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</si>
  <si>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</si>
  <si>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</si>
  <si>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</si>
  <si>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</si>
  <si>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</si>
  <si>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</si>
  <si>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</si>
  <si>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</si>
  <si>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</si>
  <si>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</si>
  <si>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</si>
  <si>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</si>
  <si>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</si>
  <si>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</si>
  <si>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</si>
  <si>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</si>
  <si>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</si>
  <si>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</si>
  <si>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</si>
  <si>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</si>
  <si>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</si>
  <si>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</si>
  <si>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</si>
  <si>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</si>
  <si>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</si>
  <si>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</si>
  <si>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</si>
  <si>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</si>
  <si>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</si>
  <si>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</si>
  <si>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</si>
  <si>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</si>
  <si>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</si>
  <si>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</si>
  <si>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</si>
  <si>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</si>
  <si>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</si>
  <si>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</si>
  <si>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</si>
  <si>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</si>
  <si>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</si>
  <si>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</si>
  <si>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</si>
  <si>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</si>
  <si>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</si>
  <si>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</si>
  <si>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</si>
  <si>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</si>
  <si>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</si>
  <si>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</si>
  <si>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</si>
  <si>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</si>
  <si>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</si>
  <si>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</si>
  <si>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</si>
  <si>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</si>
  <si>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</si>
  <si>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</si>
  <si>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</si>
  <si>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</si>
  <si>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</si>
  <si>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</si>
  <si>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</si>
  <si>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</si>
  <si>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</si>
  <si>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</si>
  <si>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</si>
  <si>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</si>
  <si>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</si>
  <si>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</si>
  <si>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</si>
  <si>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</si>
  <si>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</si>
  <si>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</si>
  <si>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</si>
  <si>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</si>
  <si>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</si>
  <si>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</si>
  <si>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</si>
  <si>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</si>
  <si>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</si>
  <si>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</si>
  <si>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</si>
  <si>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</si>
  <si>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</si>
  <si>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</si>
  <si>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</si>
  <si>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</si>
  <si>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</si>
  <si>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</si>
  <si>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</si>
  <si>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</si>
  <si>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</si>
  <si>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</si>
  <si>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</si>
  <si>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</si>
  <si>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</si>
  <si>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</si>
  <si>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</si>
  <si>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</si>
  <si>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</si>
  <si>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</si>
  <si>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</si>
  <si>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</si>
  <si>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</si>
  <si>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</si>
  <si>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</si>
  <si>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</si>
  <si>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</si>
  <si>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</si>
  <si>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</si>
  <si>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</si>
  <si>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</si>
  <si>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</si>
  <si>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</si>
  <si>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</si>
  <si>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</si>
  <si>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</si>
  <si>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</si>
  <si>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</si>
  <si>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</si>
  <si>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</si>
  <si>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</si>
  <si>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</si>
  <si>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</si>
  <si>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</si>
  <si>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</si>
  <si>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</si>
  <si>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</si>
  <si>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</si>
  <si>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</si>
  <si>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</si>
  <si>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</si>
  <si>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</si>
  <si>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</si>
  <si>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</si>
  <si>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</si>
  <si>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</si>
  <si>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</si>
  <si>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</si>
  <si>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</si>
  <si>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</si>
  <si>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</si>
  <si>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</si>
  <si>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</si>
  <si>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</si>
  <si>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</si>
  <si>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</si>
  <si>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</si>
  <si>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</si>
  <si>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</si>
  <si>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</si>
  <si>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</si>
  <si>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</si>
  <si>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</si>
  <si>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</si>
  <si>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</si>
  <si>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</si>
  <si>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</si>
  <si>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</si>
  <si>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</si>
  <si>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</si>
  <si>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</si>
  <si>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</si>
  <si>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</si>
  <si>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</si>
  <si>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</si>
  <si>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</si>
  <si>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</si>
  <si>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</si>
  <si>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</si>
  <si>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</si>
  <si>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</si>
  <si>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</si>
  <si>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</si>
  <si>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</si>
  <si>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</si>
  <si>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</si>
  <si>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</si>
  <si>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</si>
  <si>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</si>
  <si>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</si>
  <si>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</si>
  <si>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</si>
  <si>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</si>
  <si>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</si>
  <si>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</si>
  <si>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</si>
  <si>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</si>
  <si>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</si>
  <si>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</si>
  <si>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</si>
  <si>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</si>
  <si>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</si>
  <si>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</si>
  <si>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</si>
  <si>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</si>
  <si>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</si>
  <si>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</si>
  <si>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</si>
  <si>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</si>
  <si>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</si>
  <si>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</si>
  <si>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</si>
  <si>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</si>
  <si>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</si>
  <si>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</si>
  <si>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</si>
  <si>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</si>
  <si>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</si>
  <si>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</si>
  <si>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</si>
  <si>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</si>
  <si>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</si>
  <si>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</si>
  <si>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</si>
  <si>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</si>
  <si>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</si>
  <si>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</si>
  <si>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</si>
  <si>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</si>
  <si>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</si>
  <si>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</si>
  <si>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</si>
  <si>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</si>
  <si>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</si>
  <si>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</si>
  <si>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</si>
  <si>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</si>
  <si>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</si>
  <si>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</si>
  <si>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</si>
  <si>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</si>
  <si>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</si>
  <si>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</si>
  <si>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</si>
  <si>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</si>
  <si>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</si>
  <si>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</si>
  <si>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</si>
  <si>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</si>
  <si>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</si>
  <si>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</si>
  <si>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</si>
  <si>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</si>
  <si>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</si>
  <si>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</si>
  <si>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</si>
  <si>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</si>
  <si>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</si>
  <si>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</si>
  <si>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</si>
  <si>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</si>
  <si>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</si>
  <si>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</si>
  <si>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</si>
  <si>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</si>
  <si>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</si>
  <si>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</si>
  <si>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</si>
  <si>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</si>
  <si>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</si>
  <si>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</si>
  <si>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</si>
  <si>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</si>
  <si>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</si>
  <si>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</si>
  <si>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</si>
  <si>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</si>
  <si>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</si>
  <si>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</si>
  <si>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</si>
  <si>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</si>
  <si>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</si>
  <si>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</si>
  <si>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</si>
  <si>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</si>
  <si>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</si>
  <si>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</si>
  <si>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</si>
  <si>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</si>
  <si>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</si>
  <si>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</si>
  <si>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</si>
  <si>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</si>
  <si>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</si>
  <si>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</si>
  <si>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</si>
  <si>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</si>
  <si>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</si>
  <si>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</si>
  <si>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</si>
  <si>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</si>
  <si>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</si>
  <si>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</si>
  <si>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</si>
  <si>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</si>
  <si>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</si>
  <si>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</si>
  <si>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</si>
  <si>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</si>
  <si>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</si>
  <si>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</si>
  <si>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</si>
  <si>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</si>
  <si>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</si>
  <si>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</si>
  <si>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</si>
  <si>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</si>
  <si>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</si>
  <si>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</si>
  <si>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</si>
  <si>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</si>
  <si>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</si>
  <si>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</si>
  <si>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</si>
  <si>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</si>
  <si>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</si>
  <si>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</si>
  <si>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</si>
  <si>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</si>
  <si>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</si>
  <si>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</si>
  <si>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</si>
  <si>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</si>
  <si>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</si>
  <si>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</si>
  <si>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</si>
  <si>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</si>
  <si>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</si>
  <si>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</si>
  <si>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</si>
  <si>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</si>
  <si>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</si>
  <si>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</si>
  <si>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</si>
  <si>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</si>
  <si>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</si>
  <si>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</si>
  <si>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</si>
  <si>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</si>
  <si>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</si>
  <si>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</si>
  <si>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</si>
  <si>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</si>
  <si>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</si>
  <si>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</si>
  <si>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</si>
  <si>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</si>
  <si>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</si>
  <si>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</si>
  <si>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</si>
  <si>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</si>
  <si>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</si>
  <si>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</si>
  <si>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</si>
  <si>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</si>
  <si>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</si>
  <si>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</si>
  <si>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</si>
  <si>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</si>
  <si>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</si>
  <si>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</si>
  <si>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</si>
  <si>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</si>
  <si>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</si>
  <si>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</si>
  <si>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</si>
  <si>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</si>
  <si>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</si>
  <si>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</si>
  <si>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</si>
  <si>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</si>
  <si>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</si>
  <si>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</si>
  <si>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</si>
  <si>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</si>
  <si>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</si>
  <si>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</si>
  <si>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</si>
  <si>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</si>
  <si>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</si>
  <si>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</si>
  <si>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</si>
  <si>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</si>
  <si>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</si>
  <si>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</si>
  <si>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</si>
  <si>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</si>
  <si>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</si>
  <si>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</si>
  <si>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</si>
  <si>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</si>
  <si>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</si>
  <si>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</si>
  <si>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</si>
  <si>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</si>
  <si>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</si>
  <si>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</si>
  <si>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</si>
  <si>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</si>
  <si>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</si>
  <si>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</si>
  <si>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</si>
  <si>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</si>
  <si>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</si>
  <si>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</si>
  <si>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</si>
  <si>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</si>
  <si>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</si>
  <si>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</si>
  <si>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</si>
  <si>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</si>
  <si>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</si>
  <si>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</si>
  <si>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</si>
  <si>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</si>
  <si>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</si>
  <si>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</si>
  <si>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</si>
  <si>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</si>
  <si>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</si>
  <si>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</si>
  <si>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</si>
  <si>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</si>
  <si>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</si>
  <si>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</si>
  <si>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</si>
  <si>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</si>
  <si>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</si>
  <si>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</si>
  <si>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</si>
  <si>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</si>
  <si>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</si>
  <si>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</si>
  <si>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</si>
  <si>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</si>
  <si>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</si>
  <si>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</si>
  <si>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</si>
  <si>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</si>
  <si>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</si>
  <si>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</si>
  <si>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</si>
  <si>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</si>
  <si>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</si>
  <si>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</si>
  <si>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</si>
  <si>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</si>
  <si>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</si>
  <si>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</si>
  <si>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</si>
  <si>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</si>
  <si>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</si>
  <si>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</si>
  <si>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</si>
  <si>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</si>
  <si>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</si>
  <si>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</si>
  <si>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</si>
  <si>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</si>
  <si>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</si>
  <si>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</si>
  <si>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</si>
  <si>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</si>
  <si>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</si>
  <si>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</si>
  <si>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</si>
  <si>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</si>
  <si>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</si>
  <si>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</si>
  <si>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</si>
  <si>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</si>
  <si>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</si>
  <si>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</si>
  <si>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</si>
  <si>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</si>
  <si>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</si>
  <si>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</si>
  <si>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</si>
  <si>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</si>
  <si>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</si>
  <si>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</si>
  <si>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</si>
  <si>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</si>
  <si>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</si>
  <si>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</si>
  <si>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</si>
  <si>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</si>
  <si>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</si>
  <si>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</si>
  <si>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</si>
  <si>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</si>
  <si>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</si>
  <si>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</si>
  <si>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</si>
  <si>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</si>
  <si>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</si>
  <si>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</si>
  <si>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</si>
  <si>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</si>
  <si>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</si>
  <si>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</si>
  <si>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</si>
  <si>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</si>
  <si>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</si>
  <si>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</si>
  <si>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</si>
  <si>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</si>
  <si>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</si>
  <si>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</si>
  <si>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</si>
  <si>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</si>
  <si>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</si>
  <si>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</si>
  <si>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</si>
  <si>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</si>
  <si>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</si>
  <si>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</si>
  <si>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</si>
  <si>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</si>
  <si>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</si>
  <si>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</si>
  <si>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</si>
  <si>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</si>
  <si>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</si>
  <si>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</si>
  <si>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</si>
  <si>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</si>
  <si>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</si>
  <si>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</si>
  <si>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</si>
  <si>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</si>
  <si>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</si>
  <si>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</si>
  <si>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</si>
  <si>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</si>
  <si>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</si>
  <si>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</si>
  <si>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</si>
  <si>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</si>
  <si>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</si>
  <si>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</si>
  <si>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</si>
  <si>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</si>
  <si>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</si>
  <si>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</si>
  <si>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</si>
  <si>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</si>
  <si>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</si>
  <si>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</si>
  <si>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</si>
  <si>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</si>
  <si>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</si>
  <si>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</si>
  <si>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</si>
  <si>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</si>
  <si>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</si>
  <si>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</si>
  <si>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</si>
  <si>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</si>
  <si>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</si>
  <si>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</si>
  <si>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</si>
  <si>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</si>
  <si>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</si>
  <si>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</si>
  <si>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</si>
  <si>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</si>
  <si>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</si>
  <si>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</si>
  <si>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</si>
  <si>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</si>
  <si>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</si>
  <si>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</si>
  <si>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</si>
  <si>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</si>
  <si>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</si>
  <si>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</si>
  <si>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</si>
  <si>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</si>
  <si>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</si>
  <si>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</si>
  <si>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</si>
  <si>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</si>
  <si>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</si>
  <si>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</si>
  <si>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</si>
  <si>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</si>
  <si>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</si>
  <si>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</si>
  <si>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</si>
  <si>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</si>
  <si>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</si>
  <si>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</si>
  <si>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</si>
  <si>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</si>
  <si>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</si>
  <si>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</si>
  <si>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</si>
  <si>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</si>
  <si>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</si>
  <si>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</si>
  <si>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</si>
  <si>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</si>
  <si>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</si>
  <si>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</si>
  <si>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</si>
  <si>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</si>
  <si>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</si>
  <si>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</si>
  <si>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</si>
  <si>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</si>
  <si>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</si>
  <si>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</si>
  <si>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</si>
  <si>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</si>
  <si>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</si>
  <si>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</si>
  <si>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</si>
  <si>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</si>
  <si>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</si>
  <si>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</si>
  <si>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</si>
  <si>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</si>
  <si>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</si>
  <si>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</si>
  <si>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</si>
  <si>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</si>
  <si>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</si>
  <si>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</si>
  <si>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</si>
  <si>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</si>
  <si>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</si>
  <si>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</si>
  <si>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</si>
  <si>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</si>
  <si>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</si>
  <si>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</si>
  <si>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</si>
  <si>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</si>
  <si>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</si>
  <si>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</si>
  <si>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</si>
  <si>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</si>
  <si>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</si>
  <si>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</si>
  <si>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</si>
  <si>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</si>
  <si>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</si>
  <si>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</si>
  <si>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</si>
  <si>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</si>
  <si>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</si>
  <si>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</si>
  <si>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</si>
  <si>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</si>
  <si>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</si>
  <si>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</si>
  <si>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</si>
  <si>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</si>
  <si>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</si>
  <si>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</si>
  <si>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</si>
  <si>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</si>
  <si>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</si>
  <si>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</si>
  <si>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</si>
  <si>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</si>
  <si>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</si>
  <si>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</si>
  <si>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</si>
  <si>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</si>
  <si>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</si>
  <si>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</si>
  <si>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</si>
  <si>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</si>
  <si>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</si>
  <si>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</si>
  <si>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</si>
  <si>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</si>
  <si>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</si>
  <si>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</si>
  <si>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</si>
  <si>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</si>
  <si>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</si>
  <si>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</si>
  <si>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</si>
  <si>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</si>
  <si>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</si>
  <si>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</si>
  <si>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</si>
  <si>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</si>
  <si>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</si>
  <si>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</si>
  <si>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</si>
  <si>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</si>
  <si>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</si>
  <si>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</si>
  <si>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</si>
  <si>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</si>
  <si>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</si>
  <si>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</si>
  <si>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</si>
  <si>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</si>
  <si>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</si>
  <si>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</si>
  <si>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</si>
  <si>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</si>
  <si>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</si>
  <si>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</si>
  <si>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</si>
  <si>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</si>
  <si>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</si>
  <si>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</si>
  <si>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</si>
  <si>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</si>
  <si>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</si>
  <si>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</si>
  <si>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</si>
  <si>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</si>
  <si>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</si>
  <si>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</si>
  <si>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</si>
  <si>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</si>
  <si>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</si>
  <si>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</si>
  <si>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</si>
  <si>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</si>
  <si>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</si>
  <si>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</si>
  <si>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</si>
  <si>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</si>
  <si>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</si>
  <si>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</si>
  <si>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</si>
  <si>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</si>
  <si>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</si>
  <si>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</si>
  <si>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</si>
  <si>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</si>
  <si>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</si>
  <si>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</si>
  <si>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</si>
  <si>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</si>
  <si>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</si>
  <si>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</si>
  <si>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</si>
  <si>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</si>
  <si>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</si>
  <si>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</si>
  <si>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</si>
  <si>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</si>
  <si>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</si>
  <si>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</si>
  <si>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</si>
  <si>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</si>
  <si>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</si>
  <si>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</si>
  <si>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</si>
  <si>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</si>
  <si>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</si>
  <si>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</si>
  <si>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</si>
  <si>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</si>
  <si>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</si>
  <si>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</si>
  <si>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</si>
  <si>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</si>
  <si>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</si>
  <si>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</si>
  <si>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</si>
  <si>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</si>
  <si>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</si>
  <si>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</si>
  <si>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</si>
  <si>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</si>
  <si>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</si>
  <si>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</si>
  <si>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</si>
  <si>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</si>
  <si>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</si>
  <si>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</si>
  <si>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</si>
  <si>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</si>
  <si>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</si>
  <si>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</si>
  <si>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</si>
  <si>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</si>
  <si>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</si>
  <si>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</si>
  <si>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</si>
  <si>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</si>
  <si>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</si>
  <si>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</si>
  <si>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</si>
  <si>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</si>
  <si>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</si>
  <si>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</si>
  <si>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</si>
  <si>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</si>
  <si>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</si>
  <si>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</si>
  <si>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</si>
  <si>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</si>
  <si>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</si>
  <si>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</si>
  <si>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</si>
  <si>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</si>
  <si>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</si>
  <si>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</si>
  <si>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</si>
  <si>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</si>
  <si>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</si>
  <si>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</si>
  <si>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</si>
  <si>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</si>
  <si>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</si>
  <si>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</si>
  <si>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</si>
  <si>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</si>
  <si>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</si>
  <si>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</si>
  <si>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</si>
  <si>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</si>
  <si>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</si>
  <si>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</si>
  <si>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</si>
  <si>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</si>
  <si>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</si>
  <si>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</si>
  <si>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</si>
  <si>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</si>
  <si>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</si>
  <si>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</si>
  <si>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</si>
  <si>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</si>
  <si>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</si>
  <si>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</si>
  <si>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</si>
  <si>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</si>
  <si>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</si>
  <si>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</si>
  <si>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</si>
  <si>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</si>
  <si>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</si>
  <si>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</si>
  <si>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</si>
  <si>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</si>
  <si>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</si>
  <si>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</si>
  <si>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</si>
  <si>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</si>
  <si>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</si>
  <si>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</si>
  <si>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</si>
  <si>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</si>
  <si>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</si>
  <si>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</si>
  <si>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</si>
  <si>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</si>
  <si>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</si>
  <si>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</si>
  <si>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</si>
  <si>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</si>
  <si>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</si>
  <si>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</si>
  <si>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</si>
  <si>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</si>
  <si>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</si>
  <si>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</si>
  <si>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</si>
  <si>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</si>
  <si>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</si>
  <si>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</si>
  <si>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</si>
  <si>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</si>
  <si>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</si>
  <si>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</si>
  <si>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</si>
  <si>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</si>
  <si>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</si>
  <si>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</si>
  <si>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</si>
  <si>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</si>
  <si>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</si>
  <si>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</si>
  <si>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</si>
  <si>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</si>
  <si>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</si>
  <si>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</si>
  <si>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</si>
  <si>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</si>
  <si>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</si>
  <si>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</si>
  <si>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</si>
  <si>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</si>
  <si>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</si>
  <si>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</si>
  <si>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</si>
  <si>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</si>
  <si>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</si>
  <si>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</si>
  <si>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</si>
  <si>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</si>
  <si>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</si>
  <si>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</si>
  <si>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</si>
  <si>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</si>
  <si>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</si>
  <si>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</si>
  <si>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</si>
  <si>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</si>
  <si>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</si>
  <si>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</si>
  <si>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</si>
  <si>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</si>
  <si>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</si>
  <si>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</si>
  <si>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</si>
  <si>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</si>
  <si>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</si>
  <si>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</si>
  <si>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</si>
  <si>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</si>
  <si>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</si>
  <si>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</si>
  <si>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</si>
  <si>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</si>
  <si>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</si>
  <si>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</si>
  <si>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</si>
  <si>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</si>
  <si>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</si>
  <si>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</si>
  <si>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</si>
  <si>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</si>
  <si>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</si>
  <si>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</si>
  <si>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</si>
  <si>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</si>
  <si>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</si>
  <si>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</si>
  <si>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</si>
  <si>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</si>
  <si>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</si>
  <si>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</si>
  <si>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</si>
  <si>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</si>
  <si>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</si>
  <si>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</si>
  <si>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</si>
  <si>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</si>
  <si>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</si>
  <si>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</si>
  <si>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</si>
  <si>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</si>
  <si>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</si>
  <si>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</si>
  <si>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</si>
  <si>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</si>
  <si>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</si>
  <si>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</si>
  <si>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</si>
  <si>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</si>
  <si>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</si>
  <si>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</si>
  <si>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</si>
  <si>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</si>
  <si>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</si>
  <si>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</si>
  <si>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</si>
  <si>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</si>
  <si>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</si>
  <si>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</si>
  <si>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</si>
  <si>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</si>
  <si>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</si>
  <si>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</si>
  <si>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</si>
  <si>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</si>
  <si>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</si>
  <si>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</si>
  <si>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</si>
  <si>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</si>
  <si>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</si>
  <si>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</si>
  <si>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</si>
  <si>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</si>
  <si>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</si>
  <si>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</si>
  <si>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</si>
  <si>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</si>
  <si>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</si>
  <si>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</si>
  <si>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</si>
  <si>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</si>
  <si>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</si>
  <si>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</si>
  <si>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</si>
  <si>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</si>
  <si>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</si>
  <si>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</si>
  <si>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</si>
  <si>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</si>
  <si>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</si>
  <si>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</si>
  <si>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</si>
  <si>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</si>
  <si>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</si>
  <si>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</si>
  <si>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</si>
  <si>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</si>
  <si>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</si>
  <si>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</si>
  <si>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</si>
  <si>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</si>
  <si>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</si>
  <si>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</si>
  <si>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</si>
  <si>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</si>
  <si>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</si>
  <si>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</si>
  <si>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</si>
  <si>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</si>
  <si>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</si>
  <si>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</si>
  <si>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</si>
  <si>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</si>
  <si>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</si>
  <si>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</si>
  <si>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</si>
  <si>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</si>
  <si>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</si>
  <si>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</si>
  <si>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</si>
  <si>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</si>
  <si>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</si>
  <si>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</si>
  <si>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</si>
  <si>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</si>
  <si>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</si>
  <si>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</si>
  <si>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</si>
  <si>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</si>
  <si>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</si>
  <si>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</si>
  <si>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</si>
  <si>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</si>
  <si>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</si>
  <si>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</si>
  <si>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</si>
  <si>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</si>
  <si>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</si>
  <si>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</si>
  <si>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</si>
  <si>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</si>
  <si>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</si>
  <si>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</si>
  <si>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</si>
  <si>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</si>
  <si>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</si>
  <si>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</si>
  <si>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</si>
  <si>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</si>
  <si>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</si>
  <si>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</si>
  <si>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</si>
  <si>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</si>
  <si>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</si>
  <si>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</si>
  <si>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</si>
  <si>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</si>
  <si>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</si>
  <si>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</si>
  <si>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</si>
  <si>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</si>
  <si>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</si>
  <si>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</si>
  <si>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</si>
  <si>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</si>
  <si>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</si>
  <si>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</si>
  <si>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</si>
  <si>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</si>
  <si>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</si>
  <si>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</si>
  <si>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</si>
  <si>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</si>
  <si>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</si>
  <si>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</si>
  <si>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</si>
  <si>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</si>
  <si>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</si>
  <si>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</si>
  <si>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</si>
  <si>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</si>
  <si>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</si>
  <si>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</si>
  <si>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</si>
  <si>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</si>
  <si>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</si>
  <si>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</si>
  <si>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</si>
  <si>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</si>
  <si>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</si>
  <si>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</si>
  <si>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</si>
  <si>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</si>
  <si>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</si>
  <si>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</si>
  <si>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</si>
  <si>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</si>
  <si>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</si>
  <si>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</si>
  <si>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</si>
  <si>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</si>
  <si>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</si>
  <si>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</si>
  <si>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</si>
  <si>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</si>
  <si>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</si>
  <si>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</si>
  <si>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</si>
  <si>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</si>
  <si>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</si>
  <si>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</si>
  <si>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</si>
  <si>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</si>
  <si>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</si>
  <si>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</si>
  <si>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</si>
  <si>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</si>
  <si>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</si>
  <si>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</si>
  <si>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</si>
  <si>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</si>
  <si>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</si>
  <si>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</si>
  <si>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</si>
  <si>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</si>
  <si>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</si>
  <si>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</si>
  <si>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</si>
  <si>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</si>
  <si>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</si>
  <si>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</si>
  <si>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</si>
  <si>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</si>
  <si>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</si>
  <si>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</si>
  <si>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</si>
  <si>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</si>
  <si>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</si>
  <si>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</si>
  <si>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</si>
  <si>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</si>
  <si>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</si>
  <si>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</si>
  <si>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</si>
  <si>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</si>
  <si>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</si>
  <si>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</si>
  <si>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</si>
  <si>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</si>
  <si>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</si>
  <si>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</si>
  <si>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</si>
  <si>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</si>
  <si>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</si>
  <si>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</si>
  <si>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</si>
  <si>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</si>
  <si>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</si>
  <si>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</si>
  <si>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</si>
  <si>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</si>
  <si>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</si>
  <si>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</si>
  <si>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</si>
  <si>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</si>
  <si>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</si>
  <si>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</si>
  <si>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</si>
  <si>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</si>
  <si>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</si>
  <si>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</si>
  <si>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</si>
  <si>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</si>
  <si>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</si>
  <si>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</si>
  <si>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</si>
  <si>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</si>
  <si>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</si>
  <si>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</si>
  <si>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</si>
  <si>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</si>
  <si>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</si>
  <si>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</si>
  <si>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</si>
  <si>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</si>
  <si>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</si>
  <si>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</si>
  <si>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</si>
  <si>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</si>
  <si>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</si>
  <si>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</si>
  <si>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</si>
  <si>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</si>
  <si>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</si>
  <si>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</si>
  <si>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</si>
  <si>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</si>
  <si>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</si>
  <si>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</si>
  <si>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</si>
  <si>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</si>
  <si>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</si>
  <si>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</si>
  <si>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</si>
  <si>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</si>
  <si>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</si>
  <si>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</si>
  <si>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</si>
  <si>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</si>
  <si>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</si>
  <si>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</si>
  <si>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</si>
  <si>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</si>
  <si>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</si>
  <si>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</si>
  <si>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</si>
  <si>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</si>
  <si>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</si>
  <si>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</si>
  <si>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</si>
  <si>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</si>
  <si>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</si>
  <si>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</si>
  <si>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</si>
  <si>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</si>
  <si>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</si>
  <si>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</si>
  <si>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</si>
  <si>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</si>
  <si>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</si>
  <si>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</si>
  <si>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</si>
  <si>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</si>
  <si>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</si>
  <si>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</si>
  <si>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</si>
  <si>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</si>
  <si>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</si>
  <si>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</si>
  <si>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</si>
  <si>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</si>
  <si>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</si>
  <si>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</si>
  <si>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</si>
  <si>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</si>
  <si>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</si>
  <si>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</si>
  <si>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</si>
  <si>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</si>
  <si>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</si>
  <si>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</si>
  <si>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</si>
  <si>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</si>
  <si>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</si>
  <si>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</si>
  <si>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</si>
  <si>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</si>
  <si>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</si>
  <si>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</si>
  <si>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</si>
  <si>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</si>
  <si>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</si>
  <si>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</si>
  <si>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</si>
  <si>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</si>
  <si>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</si>
  <si>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</si>
  <si>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</si>
  <si>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</si>
  <si>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</si>
  <si>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</si>
  <si>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</si>
  <si>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</si>
  <si>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</si>
  <si>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</si>
  <si>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</si>
  <si>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</si>
  <si>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</si>
  <si>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</si>
  <si>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</si>
  <si>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</si>
  <si>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</si>
  <si>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</si>
  <si>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</si>
  <si>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</si>
  <si>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</si>
  <si>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</si>
  <si>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</si>
  <si>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</si>
  <si>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</si>
  <si>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</si>
  <si>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</si>
  <si>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</si>
  <si>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</si>
  <si>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</si>
  <si>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</si>
  <si>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</si>
  <si>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</si>
  <si>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</si>
  <si>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</si>
  <si>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</si>
  <si>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</si>
  <si>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</si>
  <si>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</si>
  <si>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</si>
  <si>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</si>
  <si>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</si>
  <si>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</si>
  <si>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</si>
  <si>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</si>
  <si>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</si>
  <si>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</si>
  <si>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</si>
  <si>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</si>
  <si>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</si>
  <si>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</si>
  <si>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</si>
  <si>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</si>
  <si>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</si>
  <si>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</si>
  <si>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</si>
  <si>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</si>
  <si>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</si>
  <si>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</si>
  <si>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</si>
  <si>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</si>
  <si>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</si>
  <si>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</si>
  <si>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</si>
  <si>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</si>
  <si>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</si>
  <si>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</si>
  <si>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</si>
  <si>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</si>
  <si>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</si>
  <si>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</si>
  <si>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</si>
  <si>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</si>
  <si>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</si>
  <si>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</si>
  <si>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</si>
  <si>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</si>
  <si>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</si>
  <si>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</si>
  <si>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</si>
  <si>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</si>
  <si>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</si>
  <si>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</si>
  <si>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</si>
  <si>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</si>
  <si>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</si>
  <si>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</si>
  <si>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</si>
  <si>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</si>
  <si>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</si>
  <si>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</si>
  <si>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</si>
  <si>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</si>
  <si>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</si>
  <si>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</si>
  <si>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</si>
  <si>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</si>
  <si>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</si>
  <si>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</si>
  <si>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</si>
  <si>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</si>
  <si>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</si>
  <si>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</si>
  <si>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</si>
  <si>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</si>
  <si>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</si>
  <si>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</si>
  <si>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</si>
  <si>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</si>
  <si>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</si>
  <si>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</si>
  <si>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</si>
  <si>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</si>
  <si>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</si>
  <si>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</si>
  <si>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</si>
  <si>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</si>
  <si>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</si>
  <si>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</si>
  <si>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</si>
  <si>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</si>
  <si>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</si>
  <si>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</si>
  <si>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</si>
  <si>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</si>
  <si>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</si>
  <si>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</si>
  <si>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</si>
  <si>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</si>
  <si>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</si>
  <si>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</si>
  <si>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</si>
  <si>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</si>
  <si>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</si>
  <si>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</si>
  <si>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</si>
  <si>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</si>
  <si>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</si>
  <si>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</si>
  <si>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</si>
  <si>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</si>
  <si>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</si>
  <si>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</si>
  <si>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</si>
  <si>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</si>
  <si>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</si>
  <si>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</si>
  <si>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</si>
  <si>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</si>
  <si>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</si>
  <si>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</si>
  <si>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</si>
  <si>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</si>
  <si>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</si>
  <si>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</si>
  <si>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</si>
  <si>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</si>
  <si>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</si>
  <si>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</si>
  <si>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</si>
  <si>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</si>
  <si>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</si>
  <si>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</si>
  <si>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</si>
  <si>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</si>
  <si>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</si>
  <si>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</si>
  <si>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</si>
  <si>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</si>
  <si>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</si>
  <si>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</si>
  <si>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</si>
  <si>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</si>
  <si>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</si>
  <si>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</si>
  <si>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</si>
  <si>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</si>
  <si>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</si>
  <si>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</si>
  <si>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</si>
  <si>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</si>
  <si>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</si>
  <si>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</si>
  <si>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</si>
  <si>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</si>
  <si>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</si>
  <si>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</si>
  <si>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</si>
  <si>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</si>
  <si>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</si>
  <si>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</si>
  <si>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</si>
  <si>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</si>
  <si>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</si>
  <si>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</si>
  <si>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</si>
  <si>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</si>
  <si>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</si>
  <si>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</si>
  <si>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</si>
  <si>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</si>
  <si>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</si>
  <si>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</si>
  <si>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</si>
  <si>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</si>
  <si>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</si>
  <si>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</si>
  <si>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</si>
  <si>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</si>
  <si>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</si>
  <si>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</si>
  <si>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</si>
  <si>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</si>
  <si>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</si>
  <si>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</si>
  <si>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</si>
  <si>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</si>
  <si>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</si>
  <si>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</si>
  <si>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</si>
  <si>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</si>
  <si>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</si>
  <si>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</si>
  <si>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</si>
  <si>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</si>
  <si>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</si>
  <si>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</si>
  <si>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</si>
  <si>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</si>
  <si>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</si>
  <si>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</si>
  <si>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</si>
  <si>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</si>
  <si>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</si>
  <si>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</si>
  <si>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</si>
  <si>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</si>
  <si>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</si>
  <si>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</si>
  <si>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</si>
  <si>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</si>
  <si>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</si>
  <si>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</si>
  <si>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</si>
  <si>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</si>
  <si>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</si>
  <si>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</si>
  <si>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</si>
  <si>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</si>
  <si>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</si>
  <si>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</si>
  <si>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</si>
  <si>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</si>
  <si>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</si>
  <si>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</si>
  <si>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</si>
  <si>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</si>
  <si>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</si>
  <si>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</si>
  <si>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</si>
  <si>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</si>
  <si>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</si>
  <si>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</si>
  <si>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</si>
  <si>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</si>
  <si>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</si>
  <si>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</si>
  <si>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</si>
  <si>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</si>
  <si>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</si>
  <si>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</si>
  <si>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</si>
  <si>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</si>
  <si>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</si>
  <si>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</si>
  <si>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</si>
  <si>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</si>
  <si>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</si>
  <si>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</si>
  <si>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</si>
  <si>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</si>
  <si>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</si>
  <si>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</si>
  <si>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</si>
  <si>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</si>
  <si>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</si>
  <si>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</si>
  <si>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</si>
  <si>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</si>
  <si>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</si>
  <si>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</si>
  <si>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</si>
  <si>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</si>
  <si>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</si>
  <si>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</si>
  <si>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</si>
  <si>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</si>
  <si>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</si>
  <si>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</si>
  <si>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</si>
  <si>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</si>
  <si>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</si>
  <si>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</si>
  <si>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</si>
  <si>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</si>
  <si>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</si>
  <si>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</si>
  <si>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</si>
  <si>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</si>
  <si>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</si>
  <si>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</si>
  <si>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</si>
  <si>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</si>
  <si>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</si>
  <si>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</si>
  <si>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</si>
  <si>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</si>
  <si>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</si>
  <si>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</si>
  <si>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</si>
  <si>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</si>
  <si>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</si>
  <si>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</si>
  <si>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</si>
  <si>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</si>
  <si>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</si>
  <si>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</si>
  <si>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</si>
  <si>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</si>
  <si>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</si>
  <si>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</si>
  <si>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</si>
  <si>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</si>
  <si>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</si>
  <si>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</si>
  <si>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</si>
  <si>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</si>
  <si>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</si>
  <si>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</si>
  <si>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</si>
  <si>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</si>
  <si>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</si>
  <si>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</si>
  <si>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</si>
  <si>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</si>
  <si>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</si>
  <si>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</si>
  <si>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</si>
  <si>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</si>
  <si>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</si>
  <si>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</si>
  <si>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</si>
  <si>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</si>
  <si>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</si>
  <si>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</si>
  <si>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</si>
  <si>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</si>
  <si>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</si>
  <si>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</si>
  <si>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</si>
  <si>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</si>
  <si>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</si>
  <si>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</si>
  <si>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</si>
  <si>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</si>
  <si>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</si>
  <si>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</si>
  <si>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</si>
  <si>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</si>
  <si>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</si>
  <si>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</si>
  <si>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</si>
  <si>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</si>
  <si>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</si>
  <si>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</si>
  <si>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</si>
  <si>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</si>
  <si>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</si>
  <si>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</si>
  <si>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</si>
  <si>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</si>
  <si>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</si>
  <si>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</si>
  <si>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</si>
  <si>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</si>
  <si>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</si>
  <si>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</si>
  <si>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</si>
  <si>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</si>
  <si>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</si>
  <si>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</si>
  <si>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</si>
  <si>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</si>
  <si>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</si>
  <si>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</si>
  <si>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</si>
  <si>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</si>
  <si>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</si>
  <si>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</si>
  <si>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</si>
  <si>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</si>
  <si>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</si>
  <si>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</si>
  <si>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</si>
  <si>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</si>
  <si>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</si>
  <si>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</si>
  <si>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</si>
  <si>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</si>
  <si>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</si>
  <si>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</si>
  <si>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</si>
  <si>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</si>
  <si>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</si>
  <si>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</si>
  <si>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</si>
  <si>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</si>
  <si>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</si>
  <si>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</si>
  <si>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</si>
  <si>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</si>
  <si>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</si>
  <si>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</si>
  <si>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</si>
  <si>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</si>
  <si>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</si>
  <si>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</si>
  <si>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</si>
  <si>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</si>
  <si>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</si>
  <si>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</si>
  <si>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</si>
  <si>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</si>
  <si>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</si>
  <si>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</si>
  <si>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</si>
  <si>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</si>
  <si>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</si>
  <si>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</si>
  <si>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</si>
  <si>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</si>
  <si>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</si>
  <si>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</si>
  <si>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</si>
  <si>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</si>
  <si>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</si>
  <si>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</si>
  <si>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</si>
  <si>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</si>
  <si>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</si>
  <si>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</si>
  <si>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</si>
  <si>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</si>
  <si>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</si>
  <si>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</si>
  <si>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</si>
  <si>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</si>
  <si>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</si>
  <si>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</si>
  <si>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</si>
  <si>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</si>
  <si>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</si>
  <si>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</si>
  <si>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</si>
  <si>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</si>
  <si>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</si>
  <si>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</si>
  <si>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</si>
  <si>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</si>
  <si>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</si>
  <si>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</si>
  <si>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</si>
  <si>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</si>
  <si>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</si>
  <si>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</si>
  <si>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</si>
  <si>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</si>
  <si>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</si>
  <si>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</si>
  <si>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</si>
  <si>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</si>
  <si>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</si>
  <si>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</si>
  <si>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</si>
  <si>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</si>
  <si>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</si>
  <si>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</si>
  <si>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</si>
  <si>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</si>
  <si>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</si>
  <si>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</si>
  <si>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</si>
  <si>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</si>
  <si>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</si>
  <si>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</si>
  <si>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</si>
  <si>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</si>
  <si>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</si>
  <si>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</si>
  <si>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</si>
  <si>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</si>
  <si>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</si>
  <si>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</si>
  <si>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</si>
  <si>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</si>
  <si>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</si>
  <si>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</si>
  <si>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</si>
  <si>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</si>
  <si>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</si>
  <si>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</si>
  <si>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</si>
  <si>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</si>
  <si>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</si>
  <si>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</si>
  <si>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</si>
  <si>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</si>
  <si>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</si>
  <si>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</si>
  <si>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</si>
  <si>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</si>
  <si>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</si>
  <si>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</si>
  <si>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</si>
  <si>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</si>
  <si>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</si>
  <si>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</si>
  <si>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</si>
  <si>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</si>
  <si>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</si>
  <si>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</si>
  <si>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</si>
  <si>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</si>
  <si>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</si>
  <si>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</si>
  <si>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</si>
  <si>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</si>
  <si>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</si>
  <si>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</si>
  <si>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</si>
  <si>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</si>
  <si>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</si>
  <si>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</si>
  <si>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</si>
  <si>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</si>
  <si>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</si>
  <si>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</si>
  <si>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</si>
  <si>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</si>
  <si>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</si>
  <si>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</si>
  <si>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</si>
  <si>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</si>
  <si>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</si>
  <si>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</si>
  <si>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</si>
  <si>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</si>
  <si>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</si>
  <si>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</si>
  <si>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</si>
  <si>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</si>
  <si>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</si>
  <si>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</si>
  <si>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</si>
  <si>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</si>
  <si>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</si>
  <si>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</si>
  <si>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</si>
  <si>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</si>
  <si>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</si>
  <si>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</si>
  <si>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</si>
  <si>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</si>
  <si>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</si>
  <si>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</si>
  <si>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</si>
  <si>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</si>
  <si>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</si>
  <si>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</si>
  <si>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</si>
  <si>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</si>
  <si>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</si>
  <si>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</si>
  <si>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</si>
  <si>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</si>
  <si>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</si>
  <si>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</si>
  <si>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</si>
  <si>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</si>
  <si>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</si>
  <si>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</si>
  <si>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</si>
  <si>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</si>
  <si>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</si>
  <si>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</si>
  <si>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</si>
  <si>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</si>
  <si>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</si>
  <si>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</si>
  <si>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</si>
  <si>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</si>
  <si>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</si>
  <si>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</si>
  <si>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</si>
  <si>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</si>
  <si>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</si>
  <si>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</si>
  <si>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</si>
  <si>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</si>
  <si>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</si>
  <si>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</si>
  <si>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</si>
  <si>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</si>
  <si>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</si>
  <si>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</si>
  <si>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</si>
  <si>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</si>
  <si>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</si>
  <si>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</si>
  <si>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</si>
  <si>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</si>
  <si>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</si>
  <si>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</si>
  <si>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</si>
  <si>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</si>
  <si>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</si>
  <si>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</si>
  <si>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</si>
  <si>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</si>
  <si>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</si>
  <si>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</si>
  <si>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</si>
  <si>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</si>
  <si>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</si>
  <si>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</si>
  <si>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</si>
  <si>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</si>
  <si>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</si>
  <si>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</si>
  <si>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</si>
  <si>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</si>
  <si>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</si>
  <si>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</si>
  <si>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</si>
  <si>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</si>
  <si>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</si>
  <si>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</si>
  <si>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</si>
  <si>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</si>
  <si>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</si>
  <si>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</si>
  <si>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</si>
  <si>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</si>
  <si>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</si>
  <si>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</si>
  <si>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</si>
  <si>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</si>
  <si>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</si>
  <si>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</si>
  <si>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</si>
  <si>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</si>
  <si>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</si>
  <si>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</si>
  <si>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</si>
  <si>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</si>
  <si>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</si>
  <si>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</si>
  <si>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</si>
  <si>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</si>
  <si>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</si>
  <si>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</si>
  <si>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</si>
  <si>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</si>
  <si>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</si>
  <si>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</si>
  <si>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</si>
  <si>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</si>
  <si>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</si>
  <si>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</si>
  <si>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</si>
  <si>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</si>
  <si>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</si>
  <si>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</si>
  <si>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</si>
  <si>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</si>
  <si>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</si>
  <si>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</si>
  <si>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</si>
  <si>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</si>
  <si>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</si>
  <si>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</si>
  <si>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</si>
  <si>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</si>
  <si>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</si>
  <si>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</si>
  <si>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</si>
  <si>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</si>
  <si>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</si>
  <si>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</si>
  <si>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</si>
  <si>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</si>
  <si>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</si>
  <si>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</si>
  <si>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</si>
  <si>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</si>
  <si>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</si>
  <si>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</si>
  <si>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</si>
  <si>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</si>
  <si>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</si>
  <si>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</si>
  <si>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</si>
  <si>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</si>
  <si>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</si>
  <si>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</si>
  <si>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</si>
  <si>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</si>
  <si>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</si>
  <si>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</si>
  <si>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</si>
  <si>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</si>
  <si>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</si>
  <si>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</si>
  <si>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</si>
  <si>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</si>
  <si>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</si>
  <si>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</si>
  <si>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</si>
  <si>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</si>
  <si>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</si>
  <si>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</si>
  <si>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</si>
  <si>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</si>
  <si>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</si>
  <si>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</si>
  <si>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</si>
  <si>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</si>
  <si>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</si>
  <si>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</si>
  <si>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</si>
  <si>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</si>
  <si>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</si>
  <si>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</si>
  <si>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</si>
  <si>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</si>
  <si>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</si>
  <si>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</si>
  <si>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</si>
  <si>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</si>
  <si>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</si>
  <si>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</si>
  <si>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</si>
  <si>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</si>
  <si>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</si>
  <si>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</si>
  <si>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</si>
  <si>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</si>
  <si>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</si>
  <si>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</si>
  <si>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</si>
  <si>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</si>
  <si>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</si>
  <si>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</si>
  <si>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</si>
  <si>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</si>
  <si>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</si>
  <si>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</si>
  <si>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</si>
  <si>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</si>
  <si>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</si>
  <si>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</si>
  <si>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</si>
  <si>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</si>
  <si>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</si>
  <si>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</si>
  <si>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</si>
  <si>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</si>
  <si>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</si>
  <si>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</si>
  <si>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</si>
  <si>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</si>
  <si>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</si>
  <si>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</si>
  <si>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</si>
  <si>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</si>
  <si>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</si>
  <si>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</si>
  <si>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</si>
  <si>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</si>
  <si>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</si>
  <si>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</si>
  <si>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</si>
  <si>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</si>
  <si>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</si>
  <si>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</si>
  <si>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</si>
  <si>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</si>
  <si>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</si>
  <si>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</si>
  <si>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</si>
  <si>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</si>
  <si>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</si>
  <si>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</si>
  <si>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</si>
  <si>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</si>
  <si>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</si>
  <si>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</si>
  <si>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</si>
  <si>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</si>
  <si>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</si>
  <si>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</si>
  <si>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</si>
  <si>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</si>
  <si>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</si>
  <si>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</si>
  <si>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</si>
  <si>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</si>
  <si>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</si>
  <si>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</si>
  <si>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</si>
  <si>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</si>
  <si>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</si>
  <si>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</si>
  <si>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</si>
  <si>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</si>
  <si>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</si>
  <si>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</si>
  <si>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</si>
  <si>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</si>
  <si>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</si>
  <si>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</si>
  <si>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</si>
  <si>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</si>
  <si>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</si>
  <si>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</si>
  <si>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</si>
  <si>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</si>
  <si>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</si>
  <si>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</si>
  <si>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</si>
  <si>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</si>
  <si>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</si>
  <si>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</si>
  <si>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</si>
  <si>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</si>
  <si>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</si>
  <si>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</si>
  <si>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</si>
  <si>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</si>
  <si>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</si>
  <si>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</si>
  <si>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</si>
  <si>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</si>
  <si>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</si>
  <si>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</si>
  <si>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</si>
  <si>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</si>
  <si>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</si>
  <si>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</si>
  <si>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</si>
  <si>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</si>
  <si>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</si>
  <si>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</si>
  <si>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</si>
  <si>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</si>
  <si>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</si>
  <si>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</si>
  <si>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</si>
  <si>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</si>
  <si>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</si>
  <si>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</si>
  <si>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</si>
  <si>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</si>
  <si>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</si>
  <si>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</si>
  <si>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</si>
  <si>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</si>
  <si>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</si>
  <si>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</si>
  <si>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</si>
  <si>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</si>
  <si>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</si>
  <si>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</si>
  <si>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</si>
  <si>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</si>
  <si>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</si>
  <si>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</si>
  <si>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</si>
  <si>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</si>
  <si>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</si>
  <si>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</si>
  <si>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</si>
  <si>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</si>
  <si>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</si>
  <si>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</si>
  <si>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</si>
  <si>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</si>
  <si>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</si>
  <si>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</si>
  <si>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</si>
  <si>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</si>
  <si>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</si>
  <si>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</si>
  <si>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</si>
  <si>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</si>
  <si>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</si>
  <si>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</si>
  <si>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</si>
  <si>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</si>
  <si>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</si>
  <si>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</si>
  <si>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</si>
  <si>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</si>
  <si>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</si>
  <si>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</si>
  <si>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</si>
  <si>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</si>
  <si>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</si>
  <si>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</si>
  <si>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</si>
  <si>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</si>
  <si>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</si>
  <si>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</si>
  <si>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</si>
  <si>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</si>
  <si>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</si>
  <si>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</si>
  <si>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</si>
  <si>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</si>
  <si>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</si>
  <si>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</si>
  <si>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</si>
  <si>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</si>
  <si>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</si>
  <si>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</si>
  <si>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</si>
  <si>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</si>
  <si>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</si>
  <si>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</si>
  <si>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</si>
  <si>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</si>
  <si>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</si>
  <si>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</si>
  <si>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</si>
  <si>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</si>
  <si>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</si>
  <si>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</si>
  <si>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</si>
  <si>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</si>
  <si>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</si>
  <si>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</si>
  <si>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</si>
  <si>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</si>
  <si>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</si>
  <si>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</si>
  <si>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</si>
  <si>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</si>
  <si>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</si>
  <si>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</si>
  <si>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</si>
  <si>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</si>
  <si>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</si>
  <si>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</si>
  <si>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</si>
  <si>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</si>
  <si>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</si>
  <si>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</si>
  <si>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</si>
  <si>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</si>
  <si>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</si>
  <si>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</si>
  <si>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</si>
  <si>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</si>
  <si>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</si>
  <si>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</si>
  <si>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</si>
  <si>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</si>
  <si>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</si>
  <si>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</si>
  <si>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</si>
  <si>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</si>
  <si>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</si>
  <si>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</si>
  <si>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</si>
  <si>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</si>
  <si>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</si>
  <si>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</si>
  <si>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</si>
  <si>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</si>
  <si>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</si>
  <si>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</si>
  <si>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</si>
  <si>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</si>
  <si>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</si>
  <si>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</si>
  <si>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</si>
  <si>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</si>
  <si>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</si>
  <si>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</si>
  <si>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</si>
  <si>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</si>
  <si>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</si>
  <si>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</si>
  <si>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</si>
  <si>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</si>
  <si>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</si>
  <si>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</si>
  <si>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</si>
  <si>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</si>
  <si>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</si>
  <si>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</si>
  <si>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</si>
  <si>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</si>
  <si>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</si>
  <si>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</si>
  <si>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</si>
  <si>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</si>
  <si>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</si>
  <si>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</si>
  <si>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</si>
  <si>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</si>
  <si>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</si>
  <si>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</si>
  <si>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</si>
  <si>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</si>
  <si>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</si>
  <si>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</si>
  <si>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</si>
  <si>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</si>
  <si>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</si>
  <si>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</si>
  <si>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</si>
  <si>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</si>
  <si>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</si>
  <si>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</si>
  <si>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</si>
  <si>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</si>
  <si>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</si>
  <si>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</si>
  <si>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</si>
  <si>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</si>
  <si>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</si>
  <si>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</si>
  <si>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</si>
  <si>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</si>
  <si>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</si>
  <si>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</si>
  <si>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</si>
  <si>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</si>
  <si>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</si>
  <si>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</si>
  <si>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</si>
  <si>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</si>
  <si>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</si>
  <si>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</si>
  <si>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</si>
  <si>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</si>
  <si>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</si>
  <si>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</si>
  <si>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</si>
  <si>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</si>
  <si>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</si>
  <si>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</si>
  <si>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</si>
  <si>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</si>
  <si>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</si>
  <si>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</si>
  <si>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</si>
  <si>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</si>
  <si>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</si>
  <si>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</si>
  <si>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</si>
  <si>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</si>
  <si>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</si>
  <si>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</si>
  <si>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</si>
  <si>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</si>
  <si>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</si>
  <si>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</si>
  <si>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</si>
  <si>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</si>
  <si>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</si>
  <si>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</si>
  <si>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</si>
  <si>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</si>
  <si>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</si>
  <si>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</si>
  <si>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</si>
  <si>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</si>
  <si>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</si>
  <si>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</si>
  <si>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</si>
  <si>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</si>
  <si>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</si>
  <si>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</si>
  <si>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</si>
  <si>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</si>
  <si>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</si>
  <si>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</si>
  <si>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</si>
  <si>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</si>
  <si>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</si>
  <si>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</si>
  <si>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</si>
  <si>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</si>
  <si>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</si>
  <si>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</si>
  <si>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</si>
  <si>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</si>
  <si>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</si>
  <si>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</si>
  <si>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</si>
  <si>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</si>
  <si>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</si>
  <si>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</si>
  <si>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</si>
  <si>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</si>
  <si>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</si>
  <si>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</si>
  <si>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</si>
  <si>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</si>
  <si>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</si>
  <si>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</si>
  <si>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</si>
  <si>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</si>
  <si>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</si>
  <si>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</si>
  <si>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</si>
  <si>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</si>
  <si>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</si>
  <si>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</si>
  <si>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</si>
  <si>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</si>
  <si>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</si>
  <si>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</si>
  <si>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</si>
  <si>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</si>
  <si>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</si>
  <si>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</si>
  <si>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</si>
  <si>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</si>
  <si>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</si>
  <si>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</si>
  <si>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</si>
  <si>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</si>
  <si>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</si>
  <si>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</si>
  <si>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</si>
  <si>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</si>
  <si>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</si>
  <si>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</si>
  <si>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</si>
  <si>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</si>
  <si>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</si>
  <si>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</si>
  <si>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</si>
  <si>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</si>
  <si>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</si>
  <si>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</si>
  <si>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</si>
  <si>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</si>
  <si>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</si>
  <si>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</si>
  <si>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</si>
  <si>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</si>
  <si>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</si>
  <si>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</si>
  <si>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</si>
  <si>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</si>
  <si>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</si>
  <si>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</si>
  <si>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</si>
  <si>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</si>
  <si>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</si>
  <si>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</si>
  <si>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</si>
  <si>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</si>
  <si>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</si>
  <si>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</si>
  <si>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</si>
  <si>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</si>
  <si>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</si>
  <si>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</si>
  <si>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</si>
  <si>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</si>
  <si>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</si>
  <si>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</si>
  <si>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</si>
  <si>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</si>
  <si>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</si>
  <si>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</si>
  <si>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</si>
  <si>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</si>
  <si>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</si>
  <si>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</si>
  <si>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</si>
  <si>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</si>
  <si>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</si>
  <si>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</si>
  <si>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</si>
  <si>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</si>
  <si>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</si>
  <si>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</si>
  <si>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</si>
  <si>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</si>
  <si>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</si>
  <si>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</si>
  <si>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</si>
  <si>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</si>
  <si>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</si>
  <si>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</si>
  <si>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</si>
  <si>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</si>
  <si>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</si>
  <si>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</si>
  <si>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</si>
  <si>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</si>
  <si>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</si>
  <si>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</si>
  <si>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</si>
  <si>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</si>
  <si>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</si>
  <si>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</si>
  <si>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</si>
  <si>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</si>
  <si>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</si>
  <si>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</si>
  <si>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</si>
  <si>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</si>
  <si>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</si>
  <si>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</si>
  <si>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</si>
  <si>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</si>
  <si>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</si>
  <si>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</si>
  <si>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</si>
  <si>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</si>
  <si>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</si>
  <si>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</si>
  <si>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</si>
  <si>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</si>
  <si>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</si>
  <si>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</si>
  <si>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</si>
  <si>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</si>
  <si>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</si>
  <si>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</si>
  <si>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</si>
  <si>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</si>
  <si>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</si>
  <si>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</si>
  <si>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</si>
  <si>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</si>
  <si>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</si>
  <si>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</si>
  <si>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</si>
  <si>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</si>
  <si>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</si>
  <si>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</si>
  <si>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</si>
  <si>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</si>
  <si>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</si>
  <si>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</si>
  <si>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</si>
  <si>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</si>
  <si>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</si>
  <si>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</si>
  <si>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</si>
  <si>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</si>
  <si>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</si>
  <si>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</si>
  <si>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</si>
  <si>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</si>
  <si>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</si>
  <si>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</si>
  <si>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</si>
  <si>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</si>
  <si>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</si>
  <si>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</si>
  <si>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</si>
  <si>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</si>
  <si>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</si>
  <si>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</si>
  <si>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</si>
  <si>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</si>
  <si>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</si>
  <si>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</si>
  <si>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</si>
  <si>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</si>
  <si>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</si>
  <si>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</si>
  <si>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</si>
  <si>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</si>
  <si>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</si>
  <si>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</si>
  <si>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</si>
  <si>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</si>
  <si>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</si>
  <si>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</si>
  <si>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</si>
  <si>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</si>
  <si>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</si>
  <si>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</si>
  <si>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</si>
  <si>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</si>
  <si>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</si>
  <si>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</si>
  <si>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</si>
  <si>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</si>
  <si>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</si>
  <si>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</si>
  <si>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</si>
  <si>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</si>
  <si>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</si>
  <si>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</si>
  <si>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</si>
  <si>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</si>
  <si>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</si>
  <si>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</si>
  <si>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</si>
  <si>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</si>
  <si>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</si>
  <si>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</si>
  <si>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</si>
  <si>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</si>
  <si>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</si>
  <si>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</si>
  <si>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</si>
  <si>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</si>
  <si>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</si>
  <si>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</si>
  <si>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</si>
  <si>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</si>
  <si>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</si>
  <si>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</si>
  <si>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</si>
  <si>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</si>
  <si>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</si>
  <si>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</si>
  <si>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</si>
  <si>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</si>
  <si>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</si>
  <si>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</si>
  <si>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</si>
  <si>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</si>
  <si>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</si>
  <si>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</si>
  <si>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</si>
  <si>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</si>
  <si>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</si>
  <si>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</si>
  <si>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</si>
  <si>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</si>
  <si>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</si>
  <si>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</si>
  <si>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</si>
  <si>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</si>
  <si>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</si>
  <si>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</si>
  <si>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</si>
  <si>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</si>
  <si>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</si>
  <si>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</si>
  <si>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</si>
  <si>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</si>
  <si>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</si>
  <si>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</si>
  <si>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</si>
  <si>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</si>
  <si>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</si>
  <si>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</si>
  <si>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</si>
  <si>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</si>
  <si>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</si>
  <si>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</si>
  <si>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</si>
  <si>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</si>
  <si>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</si>
  <si>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</si>
  <si>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</si>
  <si>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</si>
  <si>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</si>
  <si>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</si>
  <si>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</si>
  <si>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</si>
  <si>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</si>
  <si>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</si>
  <si>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</si>
  <si>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</si>
  <si>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</si>
  <si>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</si>
  <si>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</si>
  <si>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</si>
  <si>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</si>
  <si>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</si>
  <si>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</si>
  <si>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</si>
  <si>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</si>
  <si>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</si>
  <si>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</si>
  <si>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</si>
  <si>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</si>
  <si>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</si>
  <si>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</si>
  <si>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</si>
  <si>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</si>
  <si>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</si>
  <si>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</si>
  <si>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</si>
  <si>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</si>
  <si>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</si>
  <si>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</si>
  <si>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</si>
  <si>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</si>
  <si>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</si>
  <si>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</si>
  <si>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</si>
  <si>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</si>
  <si>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</si>
  <si>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</si>
  <si>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</si>
  <si>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</si>
  <si>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</si>
  <si>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</si>
  <si>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</si>
  <si>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</si>
  <si>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</si>
  <si>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</si>
  <si>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</si>
  <si>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</si>
  <si>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</si>
  <si>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</si>
  <si>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</si>
  <si>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</si>
  <si>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</si>
  <si>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</si>
  <si>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</si>
  <si>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</si>
  <si>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</si>
  <si>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</si>
  <si>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</si>
  <si>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</si>
  <si>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</si>
  <si>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</si>
  <si>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</si>
  <si>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</si>
  <si>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</si>
  <si>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</si>
  <si>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</si>
  <si>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</si>
  <si>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</si>
  <si>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</si>
  <si>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</si>
  <si>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</si>
  <si>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</si>
  <si>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</si>
  <si>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</si>
  <si>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</si>
  <si>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</si>
  <si>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</si>
  <si>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</si>
  <si>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</si>
  <si>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</si>
  <si>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</si>
  <si>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</si>
  <si>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</si>
  <si>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</si>
  <si>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</si>
  <si>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</si>
  <si>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</si>
  <si>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</si>
  <si>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</si>
  <si>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</si>
  <si>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</si>
  <si>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</si>
  <si>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</si>
  <si>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</si>
  <si>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</si>
  <si>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</si>
  <si>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</si>
  <si>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</si>
  <si>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</si>
  <si>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</si>
  <si>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</si>
  <si>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</si>
  <si>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</si>
  <si>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</si>
  <si>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</si>
  <si>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</si>
  <si>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</si>
  <si>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</si>
  <si>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</si>
  <si>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</si>
  <si>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</si>
  <si>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</si>
  <si>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</si>
  <si>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</si>
  <si>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</si>
  <si>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</si>
  <si>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</si>
  <si>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</si>
  <si>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</si>
  <si>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</si>
  <si>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</si>
  <si>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</si>
  <si>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</si>
  <si>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</si>
  <si>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</si>
  <si>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</si>
  <si>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</si>
  <si>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</si>
  <si>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</si>
  <si>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</si>
  <si>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</si>
  <si>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</si>
  <si>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</si>
  <si>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</si>
  <si>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</si>
  <si>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</si>
  <si>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</si>
  <si>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</si>
  <si>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</si>
  <si>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</si>
  <si>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</si>
  <si>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</si>
  <si>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</si>
  <si>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</si>
  <si>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</si>
  <si>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</si>
  <si>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</si>
  <si>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</si>
  <si>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</si>
  <si>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</si>
  <si>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</si>
  <si>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</si>
  <si>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</si>
  <si>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</si>
  <si>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</si>
  <si>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</si>
  <si>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</si>
  <si>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</si>
  <si>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</si>
  <si>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</si>
  <si>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</si>
  <si>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</si>
  <si>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</si>
  <si>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</si>
  <si>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</si>
  <si>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</si>
  <si>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</si>
  <si>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</si>
  <si>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</si>
  <si>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</si>
  <si>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</si>
  <si>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</si>
  <si>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</si>
  <si>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</si>
  <si>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</si>
  <si>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</si>
  <si>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</si>
  <si>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</si>
  <si>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</si>
  <si>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</si>
  <si>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</si>
  <si>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</si>
  <si>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</si>
  <si>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</si>
  <si>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</si>
  <si>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</si>
  <si>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</si>
  <si>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</si>
  <si>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</si>
  <si>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</si>
  <si>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</si>
  <si>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</si>
  <si>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</si>
  <si>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</si>
  <si>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</si>
  <si>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</si>
  <si>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</si>
  <si>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</si>
  <si>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</si>
  <si>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</si>
  <si>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</si>
  <si>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</si>
  <si>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</si>
  <si>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</si>
  <si>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</si>
  <si>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</si>
  <si>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</si>
  <si>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</si>
  <si>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</si>
  <si>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</si>
  <si>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</si>
  <si>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</si>
  <si>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</si>
  <si>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</si>
  <si>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</si>
  <si>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</si>
  <si>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</si>
  <si>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</si>
  <si>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</si>
  <si>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</si>
  <si>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</si>
  <si>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</si>
  <si>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</si>
  <si>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</si>
  <si>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</si>
  <si>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</si>
  <si>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</si>
  <si>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</si>
  <si>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</si>
  <si>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</si>
  <si>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</si>
  <si>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</si>
  <si>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</si>
  <si>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</si>
  <si>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</si>
  <si>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</si>
  <si>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</si>
  <si>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</si>
  <si>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</si>
  <si>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</si>
  <si>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</si>
  <si>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</si>
  <si>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</si>
  <si>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</si>
  <si>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</si>
  <si>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</si>
  <si>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</si>
  <si>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</si>
  <si>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</si>
  <si>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</si>
  <si>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</si>
  <si>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</si>
  <si>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</si>
  <si>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</si>
  <si>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</si>
  <si>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</si>
  <si>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</si>
  <si>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</si>
  <si>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</si>
  <si>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</si>
  <si>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</si>
  <si>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</si>
  <si>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</si>
  <si>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</si>
  <si>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</si>
  <si>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</si>
  <si>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</si>
  <si>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</si>
  <si>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</si>
  <si>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</si>
  <si>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</si>
  <si>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</si>
  <si>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</si>
  <si>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</si>
  <si>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</si>
  <si>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</si>
  <si>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</si>
  <si>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</si>
  <si>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</si>
  <si>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</si>
  <si>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</si>
  <si>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</si>
  <si>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</si>
  <si>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</si>
  <si>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</si>
  <si>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</si>
  <si>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</si>
  <si>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</si>
  <si>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</si>
  <si>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</si>
  <si>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</si>
  <si>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</si>
  <si>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</si>
  <si>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</si>
  <si>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</si>
  <si>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</si>
  <si>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</si>
  <si>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</si>
  <si>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</si>
  <si>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</si>
  <si>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</si>
  <si>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</si>
  <si>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</si>
  <si>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</si>
  <si>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</si>
  <si>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</si>
  <si>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</si>
  <si>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</si>
  <si>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</si>
  <si>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</si>
  <si>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</si>
  <si>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</si>
  <si>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</si>
  <si>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</si>
  <si>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</si>
  <si>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</si>
  <si>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</si>
  <si>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</si>
  <si>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</si>
  <si>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</si>
  <si>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</si>
  <si>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</si>
  <si>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</si>
  <si>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</si>
  <si>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</si>
  <si>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</si>
  <si>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</si>
  <si>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</si>
  <si>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</si>
  <si>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</si>
  <si>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</si>
  <si>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</si>
  <si>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</si>
  <si>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</si>
  <si>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</si>
  <si>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</si>
  <si>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</si>
  <si>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</si>
  <si>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</si>
  <si>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</si>
  <si>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</si>
  <si>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</si>
  <si>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</si>
  <si>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</si>
  <si>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</si>
  <si>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</si>
  <si>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</si>
  <si>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</si>
  <si>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</si>
  <si>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</si>
  <si>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</si>
  <si>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</si>
  <si>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</si>
  <si>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</si>
  <si>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</si>
  <si>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</si>
  <si>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</si>
  <si>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</si>
  <si>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</si>
  <si>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</si>
  <si>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</si>
  <si>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</si>
  <si>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</si>
  <si>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</si>
  <si>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</si>
  <si>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</si>
  <si>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</si>
  <si>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</si>
  <si>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</si>
  <si>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</si>
  <si>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</si>
  <si>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</si>
  <si>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</si>
  <si>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</si>
  <si>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</si>
  <si>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</si>
  <si>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</si>
  <si>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</si>
  <si>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</si>
  <si>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</si>
  <si>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</si>
  <si>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</si>
  <si>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</si>
  <si>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</si>
  <si>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</si>
  <si>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</si>
  <si>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</si>
  <si>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</si>
  <si>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</si>
  <si>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</si>
  <si>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</si>
  <si>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</si>
  <si>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</si>
  <si>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</si>
  <si>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</si>
  <si>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</si>
  <si>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</si>
  <si>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</si>
  <si>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</si>
  <si>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</si>
  <si>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</si>
  <si>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</si>
  <si>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</si>
  <si>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</si>
  <si>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</si>
  <si>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</si>
  <si>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</si>
  <si>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</si>
  <si>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</si>
  <si>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</si>
  <si>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</si>
  <si>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</si>
  <si>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</si>
  <si>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</si>
  <si>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</si>
  <si>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</si>
  <si>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</si>
  <si>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</si>
  <si>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</si>
  <si>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</si>
  <si>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</si>
  <si>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</si>
  <si>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</si>
  <si>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</si>
  <si>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</si>
  <si>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</si>
  <si>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</si>
  <si>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</si>
  <si>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</si>
  <si>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</si>
  <si>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</si>
  <si>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</si>
  <si>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</si>
  <si>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</si>
  <si>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</si>
  <si>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</si>
  <si>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</si>
  <si>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</si>
  <si>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</si>
  <si>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</si>
  <si>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</si>
  <si>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</si>
  <si>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</si>
  <si>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</si>
  <si>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</si>
  <si>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</si>
  <si>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</si>
  <si>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</si>
  <si>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</si>
  <si>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</si>
  <si>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</si>
  <si>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</si>
  <si>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</si>
  <si>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</si>
  <si>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</si>
  <si>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</si>
  <si>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</si>
  <si>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</si>
  <si>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</si>
  <si>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</si>
  <si>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</si>
  <si>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</si>
  <si>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</si>
  <si>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</si>
  <si>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</si>
  <si>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</si>
  <si>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</si>
  <si>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</si>
  <si>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</si>
  <si>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</si>
  <si>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</si>
  <si>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</si>
  <si>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</si>
  <si>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</si>
  <si>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</si>
  <si>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</si>
  <si>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</si>
  <si>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</si>
  <si>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</si>
  <si>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</si>
  <si>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</si>
  <si>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</si>
  <si>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</si>
  <si>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</si>
  <si>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</si>
  <si>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</si>
  <si>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</si>
  <si>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</si>
  <si>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</si>
  <si>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</si>
  <si>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</si>
  <si>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</si>
  <si>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</si>
  <si>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</si>
  <si>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</si>
  <si>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</si>
  <si>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</si>
  <si>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</si>
  <si>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</si>
  <si>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</si>
  <si>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</si>
  <si>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</si>
  <si>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</si>
  <si>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</si>
  <si>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</si>
  <si>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</si>
  <si>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</si>
  <si>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</si>
  <si>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</si>
  <si>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</si>
  <si>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</si>
  <si>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</si>
  <si>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</si>
  <si>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</si>
  <si>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</si>
  <si>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</si>
  <si>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</si>
  <si>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</si>
  <si>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</si>
  <si>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</si>
  <si>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</si>
  <si>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</si>
  <si>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</si>
  <si>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</si>
  <si>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</si>
  <si>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</si>
  <si>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</si>
  <si>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</si>
  <si>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</si>
  <si>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</si>
  <si>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</si>
  <si>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</si>
  <si>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</si>
  <si>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</si>
  <si>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</si>
  <si>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</si>
  <si>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</si>
  <si>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</si>
  <si>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</si>
  <si>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</si>
  <si>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</si>
  <si>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</si>
  <si>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</si>
  <si>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</si>
  <si>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</si>
  <si>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</si>
  <si>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</si>
  <si>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</si>
  <si>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</si>
  <si>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</si>
  <si>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</si>
  <si>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</si>
  <si>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</si>
  <si>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</si>
  <si>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</si>
  <si>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</si>
  <si>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</si>
  <si>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</si>
  <si>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</si>
  <si>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</si>
  <si>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</si>
  <si>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</si>
  <si>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</si>
  <si>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</si>
  <si>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</si>
  <si>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</si>
  <si>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</si>
  <si>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</si>
  <si>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</si>
  <si>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</si>
  <si>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</si>
  <si>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</si>
  <si>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</si>
  <si>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</si>
  <si>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</si>
  <si>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</si>
  <si>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</si>
  <si>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</si>
  <si>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</si>
  <si>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</si>
  <si>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</si>
  <si>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</si>
  <si>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</si>
  <si>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</si>
  <si>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</si>
  <si>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</si>
  <si>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</si>
  <si>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</si>
  <si>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</si>
  <si>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</si>
  <si>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</si>
  <si>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</si>
  <si>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</si>
  <si>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</si>
  <si>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</si>
  <si>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</si>
  <si>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</si>
  <si>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</si>
  <si>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</si>
  <si>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</si>
  <si>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</si>
  <si>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</si>
  <si>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</si>
  <si>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</si>
  <si>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</si>
  <si>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</si>
  <si>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</si>
  <si>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</si>
  <si>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</si>
  <si>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</si>
  <si>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</si>
  <si>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</si>
  <si>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</si>
  <si>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</si>
  <si>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</si>
  <si>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</si>
  <si>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</si>
  <si>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</si>
  <si>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</si>
  <si>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</si>
  <si>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</si>
  <si>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</si>
  <si>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</si>
  <si>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</si>
  <si>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</si>
  <si>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</si>
  <si>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</si>
  <si>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</si>
  <si>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</si>
  <si>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</si>
  <si>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</si>
  <si>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</si>
  <si>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</si>
  <si>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</si>
  <si>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</si>
  <si>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</si>
  <si>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</si>
  <si>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</si>
  <si>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</si>
  <si>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</si>
  <si>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</si>
  <si>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</si>
  <si>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</si>
  <si>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</si>
  <si>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</si>
  <si>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</si>
  <si>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</si>
  <si>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</si>
  <si>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</si>
  <si>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</si>
  <si>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</si>
  <si>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</si>
  <si>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</si>
  <si>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</si>
  <si>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</si>
  <si>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</si>
  <si>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</si>
  <si>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</si>
  <si>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</si>
  <si>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</si>
  <si>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</si>
  <si>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</si>
  <si>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</si>
  <si>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</si>
  <si>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</si>
  <si>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</si>
  <si>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</si>
  <si>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</si>
  <si>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</si>
  <si>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</si>
  <si>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</si>
  <si>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</si>
  <si>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</si>
  <si>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</si>
  <si>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</si>
  <si>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</si>
  <si>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</si>
  <si>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</si>
  <si>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</si>
  <si>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</si>
  <si>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</si>
  <si>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</si>
  <si>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</si>
  <si>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</si>
  <si>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</si>
  <si>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</si>
  <si>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</si>
  <si>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</si>
  <si>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</si>
  <si>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</si>
  <si>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</si>
  <si>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</si>
  <si>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</si>
  <si>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</si>
  <si>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</si>
  <si>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</si>
  <si>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</si>
  <si>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</si>
  <si>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</si>
  <si>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</si>
  <si>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</si>
  <si>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</si>
  <si>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</si>
  <si>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</si>
  <si>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</si>
  <si>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</si>
  <si>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</si>
  <si>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</si>
  <si>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</si>
  <si>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</si>
  <si>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</si>
  <si>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</si>
  <si>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</si>
  <si>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</si>
  <si>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</si>
  <si>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</si>
  <si>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</si>
  <si>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</si>
  <si>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</si>
  <si>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</si>
  <si>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</si>
  <si>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</si>
  <si>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</si>
  <si>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</si>
  <si>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</si>
  <si>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</si>
  <si>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</si>
  <si>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</si>
  <si>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</si>
  <si>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</si>
  <si>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</si>
  <si>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</si>
  <si>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</si>
  <si>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</si>
  <si>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</si>
  <si>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</si>
  <si>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</si>
  <si>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</si>
  <si>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</si>
  <si>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</si>
  <si>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</si>
  <si>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</si>
  <si>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</si>
  <si>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</si>
  <si>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</si>
  <si>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</si>
  <si>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</si>
  <si>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</si>
  <si>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</si>
  <si>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</si>
  <si>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</si>
  <si>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</si>
  <si>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</si>
  <si>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</si>
  <si>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</si>
  <si>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</si>
  <si>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</si>
  <si>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</si>
  <si>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</si>
  <si>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</si>
  <si>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</si>
  <si>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</si>
  <si>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</si>
  <si>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</si>
  <si>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</si>
  <si>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</si>
  <si>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</si>
  <si>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</si>
  <si>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</si>
  <si>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</si>
  <si>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</si>
  <si>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</si>
  <si>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</si>
  <si>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</si>
  <si>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</si>
  <si>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</si>
  <si>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</si>
  <si>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</si>
  <si>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</si>
  <si>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</si>
  <si>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</si>
  <si>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</si>
  <si>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</si>
  <si>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</si>
  <si>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</si>
  <si>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</si>
  <si>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</si>
  <si>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</si>
  <si>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</si>
  <si>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</si>
  <si>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</si>
  <si>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</si>
  <si>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</si>
  <si>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</si>
  <si>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</si>
  <si>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</si>
  <si>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</si>
  <si>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</si>
  <si>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</si>
  <si>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</si>
  <si>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</si>
  <si>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</si>
  <si>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</si>
  <si>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</si>
  <si>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</si>
  <si>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</si>
  <si>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</si>
  <si>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</si>
  <si>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</si>
  <si>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</si>
  <si>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</si>
  <si>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</si>
  <si>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</si>
  <si>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</si>
  <si>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</si>
  <si>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</si>
  <si>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</si>
  <si>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</si>
  <si>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</si>
  <si>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</si>
  <si>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</si>
  <si>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</si>
  <si>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</si>
  <si>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</si>
  <si>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</si>
  <si>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</si>
  <si>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</si>
  <si>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</si>
  <si>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</si>
  <si>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</si>
  <si>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</si>
  <si>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</si>
  <si>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</si>
  <si>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</si>
  <si>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</si>
  <si>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</si>
  <si>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</si>
  <si>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</si>
  <si>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</si>
  <si>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</si>
  <si>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</si>
  <si>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</si>
  <si>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</si>
  <si>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</si>
  <si>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</si>
  <si>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</si>
  <si>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</si>
  <si>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</si>
  <si>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</si>
  <si>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</si>
  <si>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</si>
  <si>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</si>
  <si>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</si>
  <si>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</si>
  <si>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</si>
  <si>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</si>
  <si>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</si>
  <si>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</si>
  <si>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</si>
  <si>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</si>
  <si>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</si>
  <si>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</si>
  <si>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</si>
  <si>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</si>
  <si>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</si>
  <si>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</si>
  <si>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</si>
  <si>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</si>
  <si>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</si>
  <si>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</si>
  <si>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</si>
  <si>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</si>
  <si>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</si>
  <si>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</si>
  <si>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</si>
  <si>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</si>
  <si>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</si>
  <si>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</si>
  <si>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</si>
  <si>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</si>
  <si>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</si>
  <si>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</si>
  <si>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</si>
  <si>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</si>
  <si>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</si>
  <si>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</si>
  <si>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</si>
  <si>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</si>
  <si>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</si>
  <si>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</si>
  <si>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</si>
  <si>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</si>
  <si>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</si>
  <si>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</si>
  <si>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</si>
  <si>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</si>
  <si>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</si>
  <si>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</si>
  <si>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</si>
  <si>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</si>
  <si>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</si>
  <si>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</si>
  <si>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</si>
  <si>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</si>
  <si>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</si>
  <si>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</si>
  <si>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</si>
  <si>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</si>
  <si>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</si>
  <si>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</si>
  <si>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</si>
  <si>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</si>
  <si>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</si>
  <si>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</si>
  <si>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</si>
  <si>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</si>
  <si>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</si>
  <si>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</si>
  <si>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</si>
  <si>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</si>
  <si>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</si>
  <si>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</si>
  <si>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</si>
  <si>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</si>
  <si>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</si>
  <si>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</si>
  <si>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</si>
  <si>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</si>
  <si>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</si>
  <si>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</si>
  <si>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</si>
  <si>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</si>
  <si>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</si>
  <si>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</si>
  <si>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</si>
  <si>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</si>
  <si>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</si>
  <si>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</si>
  <si>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</si>
  <si>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</si>
  <si>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</si>
  <si>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</si>
  <si>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</si>
  <si>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</si>
  <si>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</si>
  <si>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</si>
  <si>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</si>
  <si>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</si>
  <si>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</si>
  <si>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</si>
  <si>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</si>
  <si>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</si>
  <si>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</si>
  <si>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</si>
  <si>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</si>
  <si>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</si>
  <si>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</si>
  <si>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</si>
  <si>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</si>
  <si>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</si>
  <si>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</si>
  <si>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</si>
  <si>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</si>
  <si>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</si>
  <si>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</si>
  <si>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</si>
  <si>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</si>
  <si>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</si>
  <si>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</si>
  <si>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</si>
  <si>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</si>
  <si>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</si>
  <si>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</si>
  <si>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</si>
  <si>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</si>
  <si>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</si>
  <si>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</si>
  <si>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</si>
  <si>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</si>
  <si>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</si>
  <si>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</si>
  <si>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</si>
  <si>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</si>
  <si>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</si>
  <si>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</si>
  <si>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</si>
  <si>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</si>
  <si>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</si>
  <si>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</si>
  <si>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</si>
  <si>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</si>
  <si>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</si>
  <si>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</si>
  <si>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</si>
  <si>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</si>
  <si>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</si>
  <si>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</si>
  <si>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</si>
  <si>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</si>
  <si>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</si>
  <si>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</si>
  <si>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</si>
  <si>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</si>
  <si>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</si>
  <si>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</si>
  <si>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</si>
  <si>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</si>
  <si>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</si>
  <si>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</si>
  <si>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</si>
  <si>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</si>
  <si>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</si>
  <si>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</si>
  <si>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</si>
  <si>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</si>
  <si>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</si>
  <si>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</si>
  <si>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</si>
  <si>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</si>
  <si>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</si>
  <si>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</si>
  <si>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</si>
  <si>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</si>
  <si>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</si>
  <si>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</si>
  <si>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</si>
  <si>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</si>
  <si>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</si>
  <si>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</si>
  <si>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</si>
  <si>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</si>
  <si>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</si>
  <si>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</si>
  <si>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</si>
  <si>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</si>
  <si>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</si>
  <si>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</si>
  <si>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</si>
  <si>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</si>
  <si>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</si>
  <si>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</si>
  <si>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</si>
  <si>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</si>
  <si>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</si>
  <si>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</si>
  <si>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</si>
  <si>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</si>
  <si>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</si>
  <si>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</si>
  <si>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</si>
  <si>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</si>
  <si>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</si>
  <si>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</si>
  <si>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</si>
  <si>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</si>
  <si>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</si>
  <si>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</si>
  <si>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</si>
  <si>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</si>
  <si>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</si>
  <si>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</si>
  <si>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</si>
  <si>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</si>
  <si>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</si>
  <si>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</si>
  <si>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</si>
  <si>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</si>
  <si>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</si>
  <si>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</si>
  <si>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</si>
  <si>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</si>
  <si>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</si>
  <si>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</si>
  <si>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</si>
  <si>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</si>
  <si>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</si>
  <si>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</si>
  <si>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</si>
  <si>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</si>
  <si>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</si>
  <si>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</si>
  <si>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</si>
  <si>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</si>
  <si>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</si>
  <si>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</si>
  <si>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</si>
  <si>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</si>
  <si>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</si>
  <si>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</si>
  <si>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</si>
  <si>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</si>
  <si>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</si>
  <si>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</si>
  <si>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</si>
  <si>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</si>
  <si>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</si>
  <si>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</si>
  <si>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</si>
  <si>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</si>
  <si>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</si>
  <si>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</si>
  <si>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</si>
  <si>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</si>
  <si>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</si>
  <si>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</si>
  <si>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</si>
  <si>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</si>
  <si>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</si>
  <si>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</si>
  <si>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</si>
  <si>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</si>
  <si>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</si>
  <si>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</si>
  <si>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</si>
  <si>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</si>
  <si>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</si>
  <si>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</si>
  <si>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</si>
  <si>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</si>
  <si>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</si>
  <si>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</si>
  <si>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</si>
  <si>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</si>
  <si>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</si>
  <si>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</si>
  <si>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</si>
  <si>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</si>
  <si>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</si>
  <si>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</si>
  <si>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</si>
  <si>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</si>
  <si>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</si>
  <si>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</si>
  <si>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</si>
  <si>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</si>
  <si>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</si>
  <si>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</si>
  <si>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</si>
  <si>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</si>
  <si>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</si>
  <si>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</si>
  <si>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</si>
  <si>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</si>
  <si>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</si>
  <si>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</si>
  <si>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</si>
  <si>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</si>
  <si>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</si>
  <si>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</si>
  <si>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</si>
  <si>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</si>
  <si>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</si>
  <si>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</si>
  <si>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</si>
  <si>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</si>
  <si>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</si>
  <si>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</si>
  <si>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</si>
  <si>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</si>
  <si>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</si>
  <si>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</si>
  <si>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</si>
  <si>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</si>
  <si>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</si>
  <si>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</si>
  <si>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</si>
  <si>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</si>
  <si>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</si>
  <si>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</si>
  <si>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</si>
  <si>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</si>
  <si>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</si>
  <si>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</si>
  <si>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</si>
  <si>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</si>
  <si>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</si>
  <si>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</si>
  <si>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</si>
  <si>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</si>
  <si>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</si>
  <si>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</si>
  <si>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</si>
  <si>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</si>
  <si>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</si>
  <si>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</si>
  <si>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</si>
  <si>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</si>
  <si>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</si>
  <si>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</si>
  <si>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</si>
  <si>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</si>
  <si>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</si>
  <si>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</si>
  <si>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</si>
  <si>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</si>
  <si>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</si>
  <si>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</si>
  <si>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</si>
  <si>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</si>
  <si>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</si>
  <si>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</si>
  <si>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</si>
  <si>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</si>
  <si>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</si>
  <si>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</si>
  <si>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</si>
  <si>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</si>
  <si>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</si>
  <si>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</si>
  <si>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</si>
  <si>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</si>
  <si>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</si>
  <si>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</si>
  <si>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</si>
  <si>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</si>
  <si>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</si>
  <si>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</si>
  <si>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</si>
  <si>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</si>
  <si>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</si>
  <si>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</si>
  <si>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</si>
  <si>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</si>
  <si>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</si>
  <si>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</si>
  <si>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</si>
  <si>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</si>
  <si>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</si>
  <si>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</si>
  <si>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</si>
  <si>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</si>
  <si>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</si>
  <si>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</si>
  <si>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</si>
  <si>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</si>
  <si>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</si>
  <si>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</si>
  <si>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</si>
  <si>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</si>
  <si>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</si>
  <si>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</si>
  <si>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</si>
  <si>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</si>
  <si>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</si>
  <si>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</si>
  <si>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</si>
  <si>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</si>
  <si>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</si>
  <si>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</si>
  <si>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</si>
  <si>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</si>
  <si>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</si>
  <si>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</si>
  <si>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</si>
  <si>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</si>
  <si>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</si>
  <si>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</si>
  <si>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</si>
  <si>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</si>
  <si>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</si>
  <si>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</si>
  <si>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</si>
  <si>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</si>
  <si>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</si>
  <si>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</si>
  <si>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</si>
  <si>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</si>
  <si>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</si>
  <si>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</si>
  <si>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</si>
  <si>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</si>
  <si>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</si>
  <si>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</si>
  <si>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</si>
  <si>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</si>
  <si>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</si>
  <si>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</si>
  <si>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</si>
  <si>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</si>
  <si>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</si>
  <si>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</si>
  <si>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</si>
  <si>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</si>
  <si>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</si>
  <si>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</si>
  <si>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</si>
  <si>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</si>
  <si>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</si>
  <si>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</si>
  <si>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</si>
  <si>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</si>
  <si>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</si>
  <si>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</si>
  <si>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</si>
  <si>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</si>
  <si>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</si>
  <si>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</si>
  <si>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</si>
  <si>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</si>
  <si>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</si>
  <si>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</si>
  <si>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</si>
  <si>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</si>
  <si>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</si>
  <si>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</si>
  <si>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</si>
  <si>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</si>
  <si>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</si>
  <si>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</si>
  <si>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</si>
  <si>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</si>
  <si>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</si>
  <si>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</si>
  <si>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</si>
  <si>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</si>
  <si>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</si>
  <si>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</si>
  <si>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</si>
  <si>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</si>
  <si>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</si>
  <si>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</si>
  <si>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</si>
  <si>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</si>
  <si>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</si>
  <si>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</si>
  <si>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</si>
  <si>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</si>
  <si>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</si>
  <si>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</si>
  <si>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</si>
  <si>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</si>
  <si>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</si>
  <si>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</si>
  <si>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</si>
  <si>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</si>
  <si>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</si>
  <si>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</si>
  <si>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</si>
  <si>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</si>
  <si>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</si>
  <si>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</si>
  <si>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</si>
  <si>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</si>
  <si>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</si>
  <si>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</si>
  <si>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</si>
  <si>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</si>
  <si>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</si>
  <si>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</si>
  <si>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</si>
  <si>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</si>
  <si>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</si>
  <si>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</si>
  <si>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</si>
  <si>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</si>
  <si>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</si>
  <si>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</si>
  <si>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</si>
  <si>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</si>
  <si>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</si>
  <si>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</si>
  <si>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</si>
  <si>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</si>
  <si>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</si>
  <si>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</si>
  <si>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</si>
  <si>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</si>
  <si>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</si>
  <si>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</si>
  <si>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</si>
  <si>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</si>
  <si>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</si>
  <si>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</si>
  <si>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</si>
  <si>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</si>
  <si>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</si>
  <si>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</si>
  <si>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</si>
  <si>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</si>
  <si>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</si>
  <si>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</si>
  <si>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</si>
  <si>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</si>
  <si>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</si>
  <si>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</si>
  <si>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</si>
  <si>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</si>
  <si>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</si>
  <si>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</si>
  <si>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</si>
  <si>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</si>
  <si>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</si>
  <si>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</si>
  <si>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</si>
  <si>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</si>
  <si>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</si>
  <si>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</si>
  <si>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</si>
  <si>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</si>
  <si>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</si>
  <si>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</si>
  <si>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</si>
  <si>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</si>
  <si>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</si>
  <si>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</si>
  <si>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</si>
  <si>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</si>
  <si>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</si>
  <si>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</si>
  <si>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</si>
  <si>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</si>
  <si>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</si>
  <si>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</si>
  <si>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</si>
  <si>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</si>
  <si>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</si>
  <si>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</si>
  <si>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</si>
  <si>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</si>
  <si>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</si>
  <si>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</si>
  <si>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</si>
  <si>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</si>
  <si>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</si>
  <si>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</si>
  <si>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</si>
  <si>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</si>
  <si>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</si>
  <si>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</si>
  <si>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</si>
  <si>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</si>
  <si>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</si>
  <si>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</si>
  <si>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</si>
  <si>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</si>
  <si>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</si>
  <si>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</si>
  <si>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</si>
  <si>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</si>
  <si>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</si>
  <si>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</si>
  <si>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</si>
  <si>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</si>
  <si>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</si>
  <si>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</si>
  <si>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</si>
  <si>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</si>
  <si>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</si>
  <si>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</si>
  <si>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</si>
  <si>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</si>
  <si>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</si>
  <si>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</si>
  <si>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</si>
  <si>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</si>
  <si>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</si>
  <si>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</si>
  <si>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</si>
  <si>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</si>
  <si>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</si>
  <si>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</si>
  <si>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</si>
  <si>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</si>
  <si>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</si>
  <si>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</si>
  <si>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</si>
  <si>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</si>
  <si>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</si>
  <si>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</si>
  <si>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</si>
  <si>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</si>
  <si>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</si>
  <si>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</si>
  <si>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</si>
  <si>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</si>
  <si>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</si>
  <si>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</si>
  <si>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</si>
  <si>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</si>
  <si>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</si>
  <si>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</si>
  <si>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</si>
  <si>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</si>
  <si>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</si>
  <si>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</si>
  <si>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</si>
  <si>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</si>
  <si>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</si>
  <si>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</si>
  <si>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</si>
  <si>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</si>
  <si>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</si>
  <si>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</si>
  <si>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</si>
  <si>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</si>
  <si>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</si>
  <si>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</si>
  <si>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</si>
  <si>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</si>
  <si>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</si>
  <si>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</si>
  <si>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</si>
  <si>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</si>
  <si>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</si>
  <si>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</si>
  <si>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</si>
  <si>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</si>
  <si>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</si>
  <si>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</si>
  <si>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</si>
  <si>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</si>
  <si>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</si>
  <si>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</si>
  <si>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</si>
  <si>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</si>
  <si>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</si>
  <si>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</si>
  <si>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</si>
  <si>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</si>
  <si>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</si>
  <si>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</si>
  <si>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</si>
  <si>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</si>
  <si>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</si>
  <si>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</si>
  <si>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</si>
  <si>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</si>
  <si>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</si>
  <si>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</si>
  <si>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</si>
  <si>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</si>
  <si>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</si>
  <si>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</si>
  <si>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</si>
  <si>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</si>
  <si>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</si>
  <si>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</si>
  <si>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</si>
  <si>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</si>
  <si>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</si>
  <si>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</si>
  <si>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</si>
  <si>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</si>
  <si>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</si>
  <si>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</si>
  <si>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</si>
  <si>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</si>
  <si>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</si>
  <si>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</si>
  <si>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</si>
  <si>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</si>
  <si>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</si>
  <si>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</si>
  <si>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</si>
  <si>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</si>
  <si>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</si>
  <si>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</si>
  <si>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</si>
  <si>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</si>
  <si>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</si>
  <si>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</si>
  <si>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</si>
  <si>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</si>
  <si>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</si>
  <si>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</si>
  <si>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</si>
  <si>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</si>
  <si>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</si>
  <si>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</si>
  <si>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</si>
  <si>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</si>
  <si>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</si>
  <si>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</si>
  <si>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</si>
  <si>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</si>
  <si>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</si>
  <si>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</si>
  <si>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</si>
  <si>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</si>
  <si>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</si>
  <si>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</si>
  <si>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</si>
  <si>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</si>
  <si>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</si>
  <si>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</si>
  <si>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</si>
  <si>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</si>
  <si>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</si>
  <si>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</si>
  <si>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</si>
  <si>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</si>
  <si>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</si>
  <si>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</si>
  <si>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</si>
  <si>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</si>
  <si>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</si>
  <si>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</si>
  <si>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</si>
  <si>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</si>
  <si>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</si>
  <si>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</si>
  <si>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</si>
  <si>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</si>
  <si>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</si>
  <si>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</si>
  <si>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</si>
  <si>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</si>
  <si>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</si>
  <si>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</si>
  <si>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</si>
  <si>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</si>
  <si>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</si>
  <si>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</si>
  <si>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</si>
  <si>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</si>
  <si>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</si>
  <si>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</si>
  <si>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</si>
  <si>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</si>
  <si>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</si>
  <si>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</si>
  <si>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</si>
  <si>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</si>
  <si>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</si>
  <si>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</si>
  <si>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</si>
  <si>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</si>
  <si>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</si>
  <si>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</si>
  <si>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</si>
  <si>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</si>
  <si>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</si>
  <si>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</si>
  <si>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</si>
  <si>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</si>
  <si>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</si>
  <si>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</si>
  <si>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</si>
  <si>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</si>
  <si>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</si>
  <si>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</si>
  <si>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</si>
  <si>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</si>
  <si>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</si>
  <si>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</si>
  <si>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</si>
  <si>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</si>
  <si>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</si>
  <si>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</si>
  <si>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</si>
  <si>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</si>
  <si>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</si>
  <si>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</si>
  <si>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</si>
  <si>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</si>
  <si>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</si>
  <si>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</si>
  <si>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</si>
  <si>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</si>
  <si>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</si>
  <si>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</si>
  <si>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</si>
  <si>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</si>
  <si>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</si>
  <si>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</si>
  <si>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</si>
  <si>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</si>
  <si>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</si>
  <si>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</si>
  <si>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</si>
  <si>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</si>
  <si>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</si>
  <si>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</si>
  <si>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</si>
  <si>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</si>
  <si>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</si>
  <si>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</si>
  <si>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</si>
  <si>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</si>
  <si>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</si>
  <si>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</si>
  <si>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</si>
  <si>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</si>
  <si>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</si>
  <si>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</si>
  <si>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</si>
  <si>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</si>
  <si>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</si>
  <si>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</si>
  <si>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</si>
  <si>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</si>
  <si>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</si>
  <si>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</si>
  <si>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</si>
  <si>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</si>
  <si>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</si>
  <si>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</si>
  <si>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</si>
  <si>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</si>
  <si>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</si>
  <si>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</si>
  <si>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</si>
  <si>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</si>
  <si>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</si>
  <si>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</si>
  <si>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</si>
  <si>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</si>
  <si>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</si>
  <si>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</si>
  <si>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</si>
  <si>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</si>
  <si>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</si>
  <si>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</si>
  <si>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</si>
  <si>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</si>
  <si>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</si>
  <si>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</si>
  <si>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</si>
  <si>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</si>
  <si>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</si>
  <si>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</si>
  <si>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</si>
  <si>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</si>
  <si>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</si>
  <si>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</si>
  <si>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</si>
  <si>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</si>
  <si>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</si>
  <si>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</si>
  <si>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</si>
  <si>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</si>
  <si>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</si>
  <si>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</si>
  <si>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</si>
  <si>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</si>
  <si>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</si>
  <si>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</si>
  <si>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</si>
  <si>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</si>
  <si>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</si>
  <si>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</si>
  <si>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</si>
  <si>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</si>
  <si>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</si>
  <si>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</si>
  <si>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</si>
  <si>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</si>
  <si>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</si>
  <si>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</si>
  <si>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</si>
  <si>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</si>
  <si>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</si>
  <si>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</si>
  <si>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</si>
  <si>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</si>
  <si>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</si>
  <si>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</si>
  <si>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</si>
  <si>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</si>
  <si>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</si>
  <si>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</si>
  <si>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</si>
  <si>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</si>
  <si>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</si>
  <si>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</si>
  <si>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</si>
  <si>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</si>
  <si>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</si>
  <si>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</si>
  <si>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</si>
  <si>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</si>
  <si>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</si>
  <si>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</si>
  <si>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</si>
  <si>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</si>
  <si>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</si>
  <si>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</si>
  <si>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</si>
  <si>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</si>
  <si>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</si>
  <si>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</si>
  <si>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</si>
  <si>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</si>
  <si>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</si>
  <si>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</si>
  <si>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</si>
  <si>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</si>
  <si>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</si>
  <si>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</si>
  <si>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</si>
  <si>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</si>
  <si>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</si>
  <si>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</si>
  <si>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</si>
  <si>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</si>
  <si>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</si>
  <si>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</si>
  <si>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</si>
  <si>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</si>
  <si>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</si>
  <si>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</si>
  <si>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</si>
  <si>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</si>
  <si>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</si>
  <si>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</si>
  <si>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</si>
  <si>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</si>
  <si>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</si>
  <si>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</si>
  <si>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</si>
  <si>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</si>
  <si>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</si>
  <si>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</si>
  <si>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</si>
  <si>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</si>
  <si>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</si>
  <si>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</si>
  <si>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</si>
  <si>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</si>
  <si>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</si>
  <si>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</si>
  <si>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</si>
  <si>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</si>
  <si>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</si>
  <si>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</si>
  <si>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</si>
  <si>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</si>
  <si>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</si>
  <si>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</si>
  <si>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</si>
  <si>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</si>
  <si>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</si>
  <si>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</si>
  <si>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</si>
  <si>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</si>
  <si>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</si>
  <si>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</si>
  <si>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</si>
  <si>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</si>
  <si>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</si>
  <si>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</si>
  <si>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</si>
  <si>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</si>
  <si>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</si>
  <si>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</si>
  <si>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</si>
  <si>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</si>
  <si>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</si>
  <si>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</si>
  <si>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</si>
  <si>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</si>
  <si>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</si>
  <si>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</si>
  <si>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</si>
  <si>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</si>
  <si>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</si>
  <si>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</si>
  <si>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</si>
  <si>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</si>
  <si>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</si>
  <si>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</si>
  <si>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</si>
  <si>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</si>
  <si>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</si>
  <si>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</si>
  <si>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</si>
  <si>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</si>
  <si>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</si>
  <si>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</si>
  <si>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</si>
  <si>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</si>
  <si>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</si>
  <si>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</si>
  <si>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</si>
  <si>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</si>
  <si>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</si>
  <si>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</si>
  <si>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</si>
  <si>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</si>
  <si>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</si>
  <si>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</si>
  <si>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</si>
  <si>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</si>
  <si>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</si>
  <si>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</si>
  <si>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</si>
  <si>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</si>
  <si>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</si>
  <si>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</si>
  <si>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</si>
  <si>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</si>
  <si>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</si>
  <si>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</si>
  <si>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</si>
  <si>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</si>
  <si>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</si>
  <si>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</si>
  <si>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</si>
  <si>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</si>
  <si>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</si>
  <si>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</si>
  <si>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</si>
  <si>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</si>
  <si>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</si>
  <si>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</si>
  <si>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</si>
  <si>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</si>
  <si>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</si>
  <si>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</si>
  <si>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</si>
  <si>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</si>
  <si>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</si>
  <si>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</si>
  <si>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</si>
  <si>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</si>
  <si>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</si>
  <si>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</si>
  <si>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</si>
  <si>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</si>
  <si>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</si>
  <si>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</si>
  <si>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</si>
  <si>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</si>
  <si>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</si>
  <si>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</si>
  <si>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</si>
  <si>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</si>
  <si>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</si>
  <si>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</si>
  <si>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</si>
  <si>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</si>
  <si>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</si>
  <si>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</si>
  <si>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</si>
  <si>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</si>
  <si>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</si>
  <si>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</si>
  <si>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</si>
  <si>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</si>
  <si>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</si>
  <si>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</si>
  <si>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</si>
  <si>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</si>
  <si>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</si>
  <si>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</si>
  <si>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</si>
  <si>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</si>
  <si>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</si>
  <si>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</si>
  <si>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</si>
  <si>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</si>
  <si>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</si>
  <si>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</si>
  <si>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</si>
  <si>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</si>
  <si>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</si>
  <si>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</si>
  <si>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</si>
  <si>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</si>
  <si>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</si>
  <si>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</si>
  <si>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</si>
  <si>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</si>
  <si>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</si>
  <si>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</si>
  <si>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</si>
  <si>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</si>
  <si>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</si>
  <si>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</si>
  <si>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</si>
  <si>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</si>
  <si>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</si>
  <si>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</si>
  <si>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</si>
  <si>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</si>
  <si>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</si>
  <si>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</si>
  <si>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</si>
  <si>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</si>
  <si>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</si>
  <si>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</si>
  <si>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</si>
  <si>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</si>
  <si>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</si>
  <si>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</si>
  <si>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</si>
  <si>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</si>
  <si>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</si>
  <si>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</si>
  <si>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</si>
  <si>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</si>
  <si>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</si>
  <si>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</si>
  <si>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</si>
  <si>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</si>
  <si>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</si>
  <si>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</si>
  <si>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</si>
  <si>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</si>
  <si>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</si>
  <si>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</si>
  <si>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</si>
  <si>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</si>
  <si>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</si>
  <si>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</si>
  <si>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</si>
  <si>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</si>
  <si>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</si>
  <si>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</si>
  <si>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</si>
  <si>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</si>
  <si>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</si>
  <si>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</si>
  <si>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</si>
  <si>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</si>
  <si>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</si>
  <si>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</si>
  <si>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</si>
  <si>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</si>
  <si>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</si>
  <si>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</si>
  <si>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</si>
  <si>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</si>
  <si>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</si>
  <si>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</si>
  <si>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</si>
  <si>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</si>
  <si>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</si>
  <si>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</si>
  <si>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</si>
  <si>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</si>
  <si>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</si>
  <si>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</si>
  <si>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</si>
  <si>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</si>
  <si>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</si>
  <si>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</si>
  <si>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</si>
  <si>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</si>
  <si>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</si>
  <si>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</si>
  <si>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</si>
  <si>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</si>
  <si>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</si>
  <si>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</si>
  <si>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</si>
  <si>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</si>
  <si>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</si>
  <si>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</si>
  <si>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</si>
  <si>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</si>
  <si>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</si>
  <si>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</si>
  <si>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</si>
  <si>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</si>
  <si>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</si>
  <si>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</si>
  <si>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</si>
  <si>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</si>
  <si>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</si>
  <si>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</si>
  <si>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</si>
  <si>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</si>
  <si>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</si>
  <si>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</si>
  <si>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</si>
  <si>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</si>
  <si>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</si>
  <si>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</si>
  <si>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</si>
  <si>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</si>
  <si>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</si>
  <si>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</si>
  <si>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</si>
  <si>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</si>
  <si>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</si>
  <si>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</si>
  <si>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</si>
  <si>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</si>
  <si>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</si>
  <si>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</si>
  <si>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</si>
  <si>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</si>
  <si>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</si>
  <si>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</si>
  <si>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</si>
  <si>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</si>
  <si>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</si>
  <si>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</si>
  <si>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</si>
  <si>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</si>
  <si>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</si>
  <si>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</si>
  <si>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</si>
  <si>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</si>
  <si>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</si>
  <si>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</si>
  <si>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</si>
  <si>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</si>
  <si>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</si>
  <si>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</si>
  <si>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</si>
  <si>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</si>
  <si>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</si>
  <si>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</si>
  <si>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</si>
  <si>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</si>
  <si>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</si>
  <si>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</si>
  <si>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</si>
  <si>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</si>
  <si>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</si>
  <si>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</si>
  <si>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</si>
  <si>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</si>
  <si>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</si>
  <si>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</si>
  <si>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</si>
  <si>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</si>
  <si>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</si>
  <si>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</si>
  <si>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</si>
  <si>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</si>
  <si>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</si>
  <si>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</si>
  <si>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</si>
  <si>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</si>
  <si>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</si>
  <si>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</si>
  <si>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</si>
  <si>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</si>
  <si>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</si>
  <si>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</si>
  <si>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</si>
  <si>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</si>
  <si>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</si>
  <si>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</si>
  <si>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</si>
  <si>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</si>
  <si>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</si>
  <si>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</si>
  <si>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</si>
  <si>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</si>
  <si>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</si>
  <si>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</si>
  <si>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</si>
  <si>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</si>
  <si>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</si>
  <si>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</si>
  <si>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</si>
  <si>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</si>
  <si>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</si>
  <si>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</si>
  <si>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</si>
  <si>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</si>
  <si>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</si>
  <si>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</si>
  <si>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</si>
  <si>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</si>
  <si>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</si>
  <si>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</si>
  <si>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</si>
  <si>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</si>
  <si>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</si>
  <si>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</si>
  <si>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</si>
  <si>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</si>
  <si>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</si>
  <si>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</si>
  <si>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</si>
  <si>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</si>
  <si>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</si>
  <si>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</si>
  <si>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</si>
  <si>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</si>
  <si>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</si>
  <si>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</si>
  <si>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</si>
  <si>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</si>
  <si>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</si>
  <si>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</si>
  <si>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</si>
  <si>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</si>
  <si>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</si>
  <si>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</si>
  <si>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</si>
  <si>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</si>
  <si>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</si>
  <si>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</si>
  <si>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</si>
  <si>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</si>
  <si>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</si>
  <si>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</si>
  <si>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</si>
  <si>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</si>
  <si>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</si>
  <si>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</si>
  <si>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</si>
  <si>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</si>
  <si>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</si>
  <si>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</si>
  <si>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</si>
  <si>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</si>
  <si>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</si>
  <si>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</si>
  <si>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</si>
  <si>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</si>
  <si>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</si>
  <si>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</si>
  <si>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</si>
  <si>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</si>
  <si>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</si>
  <si>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</si>
  <si>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</si>
  <si>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</si>
  <si>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</si>
  <si>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</si>
  <si>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</si>
  <si>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</si>
  <si>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</si>
  <si>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</si>
  <si>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</si>
  <si>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</si>
  <si>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</si>
  <si>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</si>
  <si>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</si>
  <si>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</si>
  <si>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</si>
  <si>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</si>
  <si>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</si>
  <si>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</si>
  <si>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</si>
  <si>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</si>
  <si>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</si>
  <si>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</si>
  <si>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</si>
  <si>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</si>
  <si>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</si>
  <si>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</si>
  <si>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</si>
  <si>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</si>
  <si>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</si>
  <si>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</si>
  <si>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</si>
  <si>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</si>
  <si>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</si>
  <si>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</si>
  <si>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</si>
  <si>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</si>
  <si>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</si>
  <si>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</si>
  <si>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</si>
  <si>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</si>
  <si>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</si>
  <si>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</si>
  <si>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</si>
  <si>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</si>
  <si>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</si>
  <si>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</si>
  <si>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</si>
  <si>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</si>
  <si>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</si>
  <si>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</si>
  <si>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</si>
  <si>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</si>
  <si>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</si>
  <si>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</si>
  <si>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</si>
  <si>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</si>
  <si>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</si>
  <si>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</si>
  <si>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</si>
  <si>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</si>
  <si>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</si>
  <si>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</si>
  <si>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</si>
  <si>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</si>
  <si>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</si>
  <si>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</si>
  <si>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</si>
  <si>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</si>
  <si>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</si>
  <si>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</si>
  <si>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</si>
  <si>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</si>
  <si>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</si>
  <si>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</si>
  <si>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</si>
  <si>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</si>
  <si>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</si>
  <si>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</si>
  <si>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</si>
  <si>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</si>
  <si>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</si>
  <si>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</si>
  <si>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</si>
  <si>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</si>
  <si>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</si>
  <si>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</si>
  <si>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</si>
  <si>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</si>
  <si>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</si>
  <si>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</si>
  <si>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</si>
  <si>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</si>
  <si>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</si>
  <si>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</si>
  <si>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</si>
  <si>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</si>
  <si>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</si>
  <si>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</si>
  <si>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</si>
  <si>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</si>
  <si>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</si>
  <si>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</si>
  <si>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</si>
  <si>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</si>
  <si>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</si>
  <si>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</si>
  <si>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</si>
  <si>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</si>
  <si>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</si>
  <si>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</si>
  <si>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</si>
  <si>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</si>
  <si>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</si>
  <si>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</si>
  <si>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</si>
  <si>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</si>
  <si>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</si>
  <si>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</si>
  <si>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</si>
  <si>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</si>
  <si>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</si>
  <si>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</si>
  <si>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</si>
  <si>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</si>
  <si>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</si>
  <si>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</si>
  <si>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</si>
  <si>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</si>
  <si>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</si>
  <si>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</si>
  <si>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</si>
  <si>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</si>
  <si>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</si>
  <si>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</si>
  <si>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</si>
  <si>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</si>
  <si>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</si>
  <si>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</si>
  <si>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</si>
  <si>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</si>
  <si>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</si>
  <si>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</si>
  <si>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</si>
  <si>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</si>
  <si>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</si>
  <si>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</si>
  <si>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</si>
  <si>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</si>
  <si>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</si>
  <si>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</si>
  <si>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</si>
  <si>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</si>
  <si>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</si>
  <si>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</si>
  <si>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</si>
  <si>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</si>
  <si>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</si>
  <si>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</si>
  <si>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</si>
  <si>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</si>
  <si>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</si>
  <si>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</si>
  <si>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</si>
  <si>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</si>
  <si>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</si>
  <si>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</si>
  <si>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</si>
  <si>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</si>
  <si>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</si>
  <si>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</si>
  <si>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</si>
  <si>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</si>
  <si>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</si>
  <si>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</si>
  <si>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</si>
  <si>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</si>
  <si>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</si>
  <si>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</si>
  <si>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</si>
  <si>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</si>
  <si>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</si>
  <si>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</si>
  <si>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</si>
  <si>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</si>
  <si>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</si>
  <si>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</si>
  <si>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</si>
  <si>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</si>
  <si>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</si>
  <si>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</si>
  <si>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</si>
  <si>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</si>
  <si>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</si>
  <si>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</si>
  <si>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</si>
  <si>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</si>
  <si>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</si>
  <si>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</si>
  <si>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</si>
  <si>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</si>
  <si>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</si>
  <si>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</si>
  <si>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</si>
  <si>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</si>
  <si>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</si>
  <si>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</si>
  <si>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</si>
  <si>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</si>
  <si>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</si>
  <si>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</si>
  <si>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</si>
  <si>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</si>
  <si>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</si>
  <si>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</si>
  <si>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</si>
  <si>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</si>
  <si>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</si>
  <si>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</si>
  <si>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</si>
  <si>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</si>
  <si>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</si>
  <si>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</si>
  <si>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</si>
  <si>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</si>
  <si>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</si>
  <si>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</si>
  <si>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</si>
  <si>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</si>
  <si>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</si>
  <si>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</si>
  <si>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</si>
  <si>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</si>
  <si>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</si>
  <si>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</si>
  <si>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</si>
  <si>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</si>
  <si>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</si>
  <si>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</si>
  <si>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</si>
  <si>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</si>
  <si>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</si>
  <si>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</si>
  <si>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</si>
  <si>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</si>
  <si>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</si>
  <si>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</si>
  <si>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</si>
  <si>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</si>
  <si>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</si>
  <si>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</si>
  <si>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</si>
  <si>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</si>
  <si>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</si>
  <si>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</si>
  <si>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</si>
  <si>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</si>
  <si>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</si>
  <si>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</si>
  <si>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</si>
  <si>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</si>
  <si>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</si>
  <si>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</si>
  <si>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</si>
  <si>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</si>
  <si>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</si>
  <si>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</si>
  <si>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</si>
  <si>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</si>
  <si>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</si>
  <si>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</si>
  <si>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</si>
  <si>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</si>
  <si>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</si>
  <si>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</si>
  <si>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</si>
  <si>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</si>
  <si>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</si>
  <si>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</si>
  <si>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</si>
  <si>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</si>
  <si>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</si>
  <si>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</si>
  <si>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</si>
  <si>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</si>
  <si>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</si>
  <si>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</si>
  <si>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</si>
  <si>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</si>
  <si>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</si>
  <si>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</si>
  <si>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</si>
  <si>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</si>
  <si>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</si>
  <si>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</si>
  <si>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</si>
  <si>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</si>
  <si>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</si>
  <si>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</si>
  <si>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</si>
  <si>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</si>
  <si>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</si>
  <si>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</si>
  <si>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</si>
  <si>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</si>
  <si>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</si>
  <si>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</si>
  <si>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</si>
  <si>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</si>
  <si>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</si>
  <si>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</si>
  <si>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</si>
  <si>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</si>
  <si>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</si>
  <si>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</si>
  <si>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</si>
  <si>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</si>
  <si>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</si>
  <si>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</si>
  <si>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</si>
  <si>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</si>
  <si>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</si>
  <si>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</si>
  <si>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</si>
  <si>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</si>
  <si>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</si>
  <si>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</si>
  <si>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</si>
  <si>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</si>
  <si>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</si>
  <si>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</si>
  <si>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</si>
  <si>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</si>
  <si>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</si>
  <si>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</si>
  <si>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</si>
  <si>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</si>
  <si>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</si>
  <si>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</si>
  <si>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</si>
  <si>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</si>
  <si>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</si>
  <si>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</si>
  <si>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</si>
  <si>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</si>
  <si>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</si>
  <si>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</si>
  <si>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</si>
  <si>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</si>
  <si>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</si>
  <si>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</si>
  <si>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</si>
  <si>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</si>
  <si>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</si>
  <si>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</si>
  <si>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</si>
  <si>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</si>
  <si>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</si>
  <si>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</si>
  <si>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</si>
  <si>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</si>
  <si>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</si>
  <si>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</si>
  <si>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</si>
  <si>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</si>
  <si>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</si>
  <si>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</si>
  <si>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</si>
  <si>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</si>
  <si>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</si>
  <si>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</si>
  <si>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</si>
  <si>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</si>
  <si>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</si>
  <si>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</si>
  <si>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</si>
  <si>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</si>
  <si>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</si>
  <si>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</si>
  <si>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</si>
  <si>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</si>
  <si>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</si>
  <si>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</si>
  <si>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</si>
  <si>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</si>
  <si>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</si>
  <si>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</si>
  <si>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</si>
  <si>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</si>
  <si>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</si>
  <si>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</si>
  <si>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</si>
  <si>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</si>
  <si>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</si>
  <si>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</si>
  <si>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</si>
  <si>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</si>
  <si>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</si>
  <si>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</si>
  <si>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</si>
  <si>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</si>
  <si>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</si>
  <si>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</si>
  <si>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</si>
  <si>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</si>
  <si>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</si>
  <si>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</si>
  <si>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</si>
  <si>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</si>
  <si>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</si>
  <si>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</si>
  <si>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</si>
  <si>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</si>
  <si>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</si>
  <si>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</si>
  <si>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</si>
  <si>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</si>
  <si>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</si>
  <si>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</si>
  <si>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</si>
  <si>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</si>
  <si>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</si>
  <si>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</si>
  <si>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</si>
  <si>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</si>
  <si>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</si>
  <si>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</si>
  <si>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</si>
  <si>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</si>
  <si>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</si>
  <si>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</si>
  <si>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</si>
  <si>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</si>
  <si>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</si>
  <si>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</si>
  <si>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</si>
  <si>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</si>
  <si>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</si>
  <si>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</si>
  <si>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</si>
  <si>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</si>
  <si>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</si>
  <si>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</si>
  <si>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</si>
  <si>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</si>
  <si>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</si>
  <si>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</si>
  <si>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</si>
  <si>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</si>
  <si>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</si>
  <si>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</si>
  <si>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</si>
  <si>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</si>
  <si>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</si>
  <si>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</si>
  <si>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</si>
  <si>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</si>
  <si>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</si>
  <si>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</si>
  <si>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</si>
  <si>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</si>
  <si>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</si>
  <si>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</si>
  <si>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</si>
  <si>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</si>
  <si>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</si>
  <si>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</si>
  <si>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</si>
  <si>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</si>
  <si>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</si>
  <si>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</si>
  <si>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</si>
  <si>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</si>
  <si>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</si>
  <si>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</si>
  <si>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</si>
  <si>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</si>
  <si>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</si>
  <si>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</si>
  <si>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</si>
  <si>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</si>
  <si>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</si>
  <si>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</si>
  <si>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</si>
  <si>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</si>
  <si>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</si>
  <si>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</si>
  <si>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</si>
  <si>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</si>
  <si>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</si>
  <si>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</si>
  <si>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</si>
  <si>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</si>
  <si>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</si>
  <si>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</si>
  <si>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</si>
  <si>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</si>
  <si>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</si>
  <si>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</si>
  <si>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</si>
  <si>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</si>
  <si>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</si>
  <si>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</si>
  <si>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</si>
  <si>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</si>
  <si>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</si>
  <si>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</si>
  <si>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</si>
  <si>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</si>
  <si>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</si>
  <si>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</si>
  <si>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</si>
  <si>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</si>
  <si>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</si>
  <si>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</si>
  <si>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</si>
  <si>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</si>
  <si>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</si>
  <si>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</si>
  <si>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</si>
  <si>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</si>
  <si>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</si>
  <si>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</si>
  <si>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</si>
  <si>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</si>
  <si>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</si>
  <si>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</si>
  <si>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</si>
  <si>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</si>
  <si>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</si>
  <si>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</si>
  <si>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</si>
  <si>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</si>
  <si>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</si>
  <si>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</si>
  <si>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</si>
  <si>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</si>
  <si>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</si>
  <si>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</si>
  <si>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</si>
  <si>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</si>
  <si>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</si>
  <si>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</si>
  <si>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</si>
  <si>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</si>
  <si>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</si>
  <si>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</si>
  <si>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</si>
  <si>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</si>
  <si>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</si>
  <si>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</si>
  <si>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</si>
  <si>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</si>
  <si>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</si>
  <si>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</si>
  <si>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</si>
  <si>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</si>
  <si>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</si>
  <si>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</si>
  <si>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</si>
  <si>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</si>
  <si>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</si>
  <si>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</si>
  <si>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</si>
  <si>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</si>
  <si>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</si>
  <si>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</si>
  <si>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</si>
  <si>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</si>
  <si>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</si>
  <si>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</si>
  <si>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</si>
  <si>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</si>
  <si>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</si>
  <si>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</si>
  <si>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</si>
  <si>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</si>
  <si>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</si>
  <si>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</si>
  <si>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</si>
  <si>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</si>
  <si>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</si>
  <si>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</si>
  <si>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</si>
  <si>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</si>
  <si>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</si>
  <si>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</si>
  <si>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</si>
  <si>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</si>
  <si>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</si>
  <si>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</si>
  <si>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</si>
  <si>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</si>
  <si>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</si>
  <si>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</si>
  <si>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</si>
  <si>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</si>
  <si>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</si>
  <si>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</si>
  <si>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</si>
  <si>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</si>
  <si>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</si>
  <si>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</si>
  <si>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</si>
  <si>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</si>
  <si>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</si>
  <si>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</si>
  <si>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</si>
  <si>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</si>
  <si>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</si>
  <si>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</si>
  <si>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</si>
  <si>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</si>
  <si>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</si>
  <si>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</si>
  <si>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</si>
  <si>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</si>
  <si>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</si>
  <si>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</si>
  <si>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</si>
  <si>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</si>
  <si>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</si>
  <si>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</si>
  <si>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</si>
  <si>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</si>
  <si>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</si>
  <si>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</si>
  <si>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</si>
  <si>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</si>
  <si>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</si>
  <si>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</si>
  <si>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</si>
  <si>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</si>
  <si>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</si>
  <si>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</si>
  <si>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</si>
  <si>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</si>
  <si>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</si>
  <si>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</si>
  <si>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</si>
  <si>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</si>
  <si>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</si>
  <si>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</si>
  <si>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</si>
  <si>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</si>
  <si>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</si>
  <si>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</si>
  <si>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</si>
  <si>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</si>
  <si>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</si>
  <si>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</si>
  <si>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</si>
  <si>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</si>
  <si>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</si>
  <si>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</si>
  <si>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</si>
  <si>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</si>
  <si>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</si>
  <si>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</si>
  <si>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</si>
  <si>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</si>
  <si>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</si>
  <si>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</si>
  <si>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</si>
  <si>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</si>
  <si>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</si>
  <si>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</si>
  <si>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</si>
  <si>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</si>
  <si>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</si>
  <si>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</si>
  <si>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</si>
  <si>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</si>
  <si>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</si>
  <si>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</si>
  <si>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</si>
  <si>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</si>
  <si>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</si>
  <si>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</si>
  <si>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</si>
  <si>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</si>
  <si>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</si>
  <si>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</si>
  <si>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</si>
  <si>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</si>
  <si>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</si>
  <si>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</si>
  <si>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</si>
  <si>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</si>
  <si>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</si>
  <si>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</si>
  <si>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</si>
  <si>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</si>
  <si>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</si>
  <si>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</si>
  <si>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</si>
  <si>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</si>
  <si>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</si>
  <si>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</si>
  <si>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</si>
  <si>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</si>
  <si>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</si>
  <si>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</si>
  <si>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</si>
  <si>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</si>
  <si>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</si>
  <si>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</si>
  <si>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</si>
  <si>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</si>
  <si>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</si>
  <si>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</si>
  <si>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</si>
  <si>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</si>
  <si>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</si>
  <si>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</si>
  <si>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</si>
  <si>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</si>
  <si>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</si>
  <si>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</si>
  <si>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</si>
  <si>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</si>
  <si>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</si>
  <si>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</si>
  <si>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</si>
  <si>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</si>
  <si>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</si>
  <si>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</si>
  <si>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</si>
  <si>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</si>
  <si>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</si>
  <si>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</si>
  <si>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</si>
  <si>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</si>
  <si>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</si>
  <si>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</si>
  <si>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</si>
  <si>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</si>
  <si>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</si>
  <si>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</si>
  <si>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</si>
  <si>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</si>
  <si>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</si>
  <si>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</si>
  <si>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</si>
  <si>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</si>
  <si>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</si>
  <si>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</si>
  <si>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</si>
  <si>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</si>
  <si>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</si>
  <si>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</si>
  <si>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</si>
  <si>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</si>
  <si>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</si>
  <si>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</si>
  <si>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</si>
  <si>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</si>
  <si>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</si>
  <si>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</si>
  <si>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</si>
  <si>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</si>
  <si>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</si>
  <si>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</si>
  <si>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</si>
  <si>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</si>
  <si>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</si>
  <si>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</si>
  <si>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</si>
  <si>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</si>
  <si>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</si>
  <si>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</si>
  <si>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</si>
  <si>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</si>
  <si>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</si>
  <si>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</si>
  <si>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</si>
  <si>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</si>
  <si>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</si>
  <si>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</si>
  <si>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</si>
  <si>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</si>
  <si>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</si>
  <si>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</si>
  <si>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</si>
  <si>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</si>
  <si>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</si>
  <si>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</si>
  <si>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</si>
  <si>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</si>
  <si>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</si>
  <si>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</si>
  <si>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</si>
  <si>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</si>
  <si>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</si>
  <si>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</si>
  <si>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</si>
  <si>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</si>
  <si>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</si>
  <si>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</si>
  <si>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</si>
  <si>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</si>
  <si>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</si>
  <si>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</si>
  <si>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</si>
  <si>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</si>
  <si>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</si>
  <si>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</si>
  <si>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</si>
  <si>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</si>
  <si>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</si>
  <si>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</si>
  <si>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</si>
  <si>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</si>
  <si>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</si>
  <si>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</si>
  <si>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</si>
  <si>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</si>
  <si>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</si>
  <si>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</si>
  <si>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</si>
  <si>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</si>
  <si>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</si>
  <si>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</si>
  <si>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</si>
  <si>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</si>
  <si>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</si>
  <si>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</si>
  <si>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</si>
  <si>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</si>
  <si>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</si>
  <si>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</si>
  <si>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</si>
  <si>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</si>
  <si>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</si>
  <si>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</si>
  <si>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</si>
  <si>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</si>
  <si>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</si>
  <si>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</si>
  <si>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</si>
  <si>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</si>
  <si>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</si>
  <si>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</si>
  <si>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</si>
  <si>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</si>
  <si>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</si>
  <si>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</si>
  <si>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</si>
  <si>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</si>
  <si>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</si>
  <si>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</si>
  <si>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</si>
  <si>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</si>
  <si>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</si>
  <si>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</si>
  <si>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</si>
  <si>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</si>
  <si>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</si>
  <si>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</si>
  <si>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</si>
  <si>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</si>
  <si>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</si>
  <si>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</si>
  <si>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</si>
  <si>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</si>
  <si>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</si>
  <si>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</si>
  <si>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</si>
  <si>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</si>
  <si>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</si>
  <si>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</si>
  <si>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</si>
  <si>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</si>
  <si>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</si>
  <si>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</si>
  <si>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</si>
  <si>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</si>
  <si>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</si>
  <si>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</si>
  <si>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</si>
  <si>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</si>
  <si>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</si>
  <si>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</si>
  <si>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</si>
  <si>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</si>
  <si>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</si>
  <si>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</si>
  <si>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</si>
  <si>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</si>
  <si>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</si>
  <si>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</si>
  <si>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</si>
  <si>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</si>
  <si>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</si>
  <si>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</si>
  <si>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</si>
  <si>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</si>
  <si>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</si>
  <si>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</si>
  <si>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</si>
  <si>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</si>
  <si>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</si>
  <si>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</si>
  <si>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</si>
  <si>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</si>
  <si>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</si>
  <si>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</si>
  <si>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</si>
  <si>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</si>
  <si>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</si>
  <si>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</si>
  <si>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</si>
  <si>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</si>
  <si>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</si>
  <si>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</si>
  <si>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</si>
  <si>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</si>
  <si>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</si>
  <si>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</si>
  <si>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</si>
  <si>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</si>
  <si>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</si>
  <si>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</si>
  <si>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</si>
  <si>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</si>
  <si>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</si>
  <si>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</si>
  <si>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</si>
  <si>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</si>
  <si>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</si>
  <si>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</si>
  <si>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</si>
  <si>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</si>
  <si>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</si>
  <si>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</si>
  <si>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</si>
  <si>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</si>
  <si>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</si>
  <si>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</si>
  <si>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</si>
  <si>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</si>
  <si>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</si>
  <si>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</si>
  <si>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</si>
  <si>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</si>
  <si>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</si>
  <si>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</si>
  <si>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</si>
  <si>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</si>
  <si>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</si>
  <si>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</si>
  <si>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</si>
  <si>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</si>
  <si>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</si>
  <si>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</si>
  <si>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</si>
  <si>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</si>
  <si>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</si>
  <si>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</si>
  <si>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</si>
  <si>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</si>
  <si>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</si>
  <si>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</si>
  <si>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</si>
  <si>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</si>
  <si>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</si>
  <si>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</si>
  <si>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</si>
  <si>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</si>
  <si>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</si>
  <si>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</si>
  <si>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</si>
  <si>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</si>
  <si>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</si>
  <si>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</si>
  <si>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</si>
  <si>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</si>
  <si>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</si>
  <si>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</si>
  <si>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</si>
  <si>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</si>
  <si>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</si>
  <si>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</si>
  <si>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</si>
  <si>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</si>
  <si>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</si>
  <si>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</si>
  <si>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</si>
  <si>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</si>
  <si>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</si>
  <si>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</si>
  <si>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</si>
  <si>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</si>
  <si>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</si>
  <si>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</si>
  <si>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</si>
  <si>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</si>
  <si>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</si>
  <si>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</si>
  <si>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</si>
  <si>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</si>
  <si>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</si>
  <si>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</si>
  <si>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</si>
  <si>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</si>
  <si>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</si>
  <si>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</si>
  <si>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</si>
  <si>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</si>
  <si>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</si>
  <si>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</si>
  <si>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</si>
  <si>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</si>
  <si>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</si>
  <si>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</si>
  <si>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</si>
  <si>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</si>
  <si>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</si>
  <si>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</si>
  <si>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</si>
  <si>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</si>
  <si>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</si>
  <si>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</si>
  <si>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</si>
  <si>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</si>
  <si>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</si>
  <si>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</si>
  <si>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</si>
  <si>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</si>
  <si>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</si>
  <si>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</si>
  <si>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</si>
  <si>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</si>
  <si>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</si>
  <si>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</si>
  <si>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</si>
  <si>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</si>
  <si>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</si>
  <si>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</si>
  <si>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</si>
  <si>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</si>
  <si>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</si>
  <si>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</si>
  <si>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</si>
  <si>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</si>
  <si>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</si>
  <si>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</si>
  <si>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</si>
  <si>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</si>
  <si>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</si>
  <si>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</si>
  <si>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</si>
  <si>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</si>
  <si>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</si>
  <si>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</si>
  <si>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</si>
  <si>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</si>
  <si>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</si>
  <si>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</si>
  <si>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</si>
  <si>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</si>
  <si>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</si>
  <si>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</si>
  <si>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</si>
  <si>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</si>
  <si>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</si>
  <si>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</si>
  <si>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</si>
  <si>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</si>
  <si>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</si>
  <si>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</si>
  <si>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</si>
  <si>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</si>
  <si>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</si>
  <si>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</si>
  <si>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</si>
  <si>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</si>
  <si>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</si>
  <si>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</si>
  <si>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</si>
  <si>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</si>
  <si>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</si>
  <si>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</si>
  <si>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</si>
  <si>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</si>
  <si>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</si>
  <si>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</si>
  <si>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</si>
  <si>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</si>
  <si>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</si>
  <si>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</si>
  <si>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</si>
  <si>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</si>
  <si>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</si>
  <si>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</si>
  <si>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</si>
  <si>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</si>
  <si>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</si>
  <si>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</si>
  <si>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</si>
  <si>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</si>
  <si>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</si>
  <si>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</si>
  <si>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</si>
  <si>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</si>
  <si>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</si>
  <si>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</si>
  <si>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</si>
  <si>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</si>
  <si>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</si>
  <si>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</si>
  <si>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</si>
  <si>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</si>
  <si>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</si>
  <si>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</si>
  <si>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</si>
  <si>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</si>
  <si>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</si>
  <si>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</si>
  <si>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</si>
  <si>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</si>
  <si>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</si>
  <si>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</si>
  <si>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</si>
  <si>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</si>
  <si>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</si>
  <si>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</si>
  <si>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</si>
  <si>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</si>
  <si>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</si>
  <si>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</si>
  <si>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</si>
  <si>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</si>
  <si>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</si>
  <si>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</si>
  <si>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</si>
  <si>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</si>
  <si>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</si>
  <si>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</si>
  <si>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</si>
  <si>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</si>
  <si>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</si>
  <si>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</si>
  <si>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</si>
  <si>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</si>
  <si>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</si>
  <si>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</si>
  <si>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</si>
  <si>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</si>
  <si>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</si>
  <si>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</si>
  <si>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</si>
  <si>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</si>
  <si>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</si>
  <si>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</si>
  <si>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</si>
  <si>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</si>
  <si>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</si>
  <si>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</si>
  <si>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</si>
  <si>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</si>
  <si>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</si>
  <si>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</si>
  <si>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</si>
  <si>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</si>
  <si>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</si>
  <si>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</si>
  <si>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</si>
  <si>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</si>
  <si>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</si>
  <si>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</si>
  <si>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</si>
  <si>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</si>
  <si>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</si>
  <si>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</si>
  <si>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</si>
  <si>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</si>
  <si>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</si>
  <si>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</si>
  <si>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</si>
  <si>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</si>
  <si>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</si>
  <si>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</si>
  <si>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</si>
  <si>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</si>
  <si>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</si>
  <si>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</si>
  <si>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</si>
  <si>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</si>
  <si>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</si>
  <si>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</si>
  <si>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</si>
  <si>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</si>
  <si>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</si>
  <si>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</si>
  <si>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</si>
  <si>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</si>
  <si>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</si>
  <si>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</si>
  <si>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</si>
  <si>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</si>
  <si>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</si>
  <si>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</si>
  <si>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</si>
  <si>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</si>
  <si>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</si>
  <si>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</si>
  <si>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</si>
  <si>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</si>
  <si>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</si>
  <si>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</si>
  <si>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</si>
  <si>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</si>
  <si>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</si>
  <si>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</si>
  <si>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</si>
  <si>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</si>
  <si>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</si>
  <si>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</si>
  <si>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</si>
  <si>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</si>
  <si>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</si>
  <si>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</si>
  <si>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</si>
  <si>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</si>
  <si>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</si>
  <si>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</si>
  <si>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</si>
  <si>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</si>
  <si>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</si>
  <si>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</si>
  <si>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</si>
  <si>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</si>
  <si>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</si>
  <si>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</si>
  <si>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</si>
  <si>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</si>
  <si>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</si>
  <si>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</si>
  <si>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</si>
  <si>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</si>
  <si>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</si>
  <si>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</si>
  <si>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</si>
  <si>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</si>
  <si>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</si>
  <si>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</si>
  <si>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</si>
  <si>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</si>
  <si>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</si>
  <si>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</si>
  <si>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</si>
  <si>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</si>
  <si>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</si>
  <si>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</si>
  <si>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</si>
  <si>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</si>
  <si>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</si>
  <si>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</si>
  <si>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</si>
  <si>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</si>
  <si>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</si>
  <si>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</si>
  <si>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</si>
  <si>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</si>
  <si>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</si>
  <si>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</si>
  <si>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</si>
  <si>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</si>
  <si>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</si>
  <si>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</si>
  <si>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</si>
  <si>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</si>
  <si>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</si>
  <si>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</si>
  <si>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</si>
  <si>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</si>
  <si>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</si>
  <si>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</si>
  <si>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</si>
  <si>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</si>
  <si>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</si>
  <si>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</si>
  <si>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</si>
  <si>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</si>
  <si>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</si>
  <si>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</si>
  <si>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</si>
  <si>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</si>
  <si>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</si>
  <si>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</si>
  <si>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</si>
  <si>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</si>
  <si>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</si>
  <si>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</si>
  <si>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</si>
  <si>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</si>
  <si>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</si>
  <si>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</si>
  <si>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</si>
  <si>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</si>
  <si>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</si>
  <si>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</si>
  <si>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</si>
  <si>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</si>
  <si>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</si>
  <si>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</si>
  <si>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</si>
  <si>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</si>
  <si>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</si>
  <si>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</si>
  <si>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</si>
  <si>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</si>
  <si>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</si>
  <si>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</si>
  <si>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</si>
  <si>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</si>
  <si>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</si>
  <si>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</si>
  <si>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</si>
  <si>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</si>
  <si>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</si>
  <si>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</si>
  <si>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</si>
  <si>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</si>
  <si>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</si>
  <si>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</si>
  <si>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</si>
  <si>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</si>
  <si>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</si>
  <si>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</si>
  <si>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</si>
  <si>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</si>
  <si>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</si>
  <si>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</si>
  <si>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</si>
  <si>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</si>
  <si>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</si>
  <si>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</si>
  <si>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</si>
  <si>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</si>
  <si>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</si>
  <si>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</si>
  <si>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</si>
  <si>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</si>
  <si>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</si>
  <si>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</si>
  <si>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</si>
  <si>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</si>
  <si>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</si>
  <si>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</si>
  <si>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</si>
  <si>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</si>
  <si>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</si>
  <si>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</si>
  <si>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</si>
  <si>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</si>
  <si>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</si>
  <si>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</si>
  <si>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</si>
  <si>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</si>
  <si>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</si>
  <si>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</si>
  <si>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</si>
  <si>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</si>
  <si>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</si>
  <si>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</si>
  <si>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</si>
  <si>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</si>
  <si>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</si>
  <si>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</si>
  <si>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</si>
  <si>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</si>
  <si>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</si>
  <si>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</si>
  <si>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</si>
  <si>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</si>
  <si>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</si>
  <si>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</si>
  <si>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</si>
  <si>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</si>
  <si>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</si>
  <si>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</si>
  <si>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</si>
  <si>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</si>
  <si>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</si>
  <si>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</si>
  <si>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</si>
  <si>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</si>
  <si>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</si>
  <si>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</si>
  <si>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</si>
  <si>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</si>
  <si>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</si>
  <si>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</si>
  <si>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</si>
  <si>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</si>
  <si>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</si>
  <si>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</si>
  <si>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</si>
  <si>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</si>
  <si>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</si>
  <si>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</si>
  <si>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</si>
  <si>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</si>
  <si>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</si>
  <si>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</si>
  <si>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</si>
  <si>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</si>
  <si>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</si>
  <si>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</si>
  <si>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</si>
  <si>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</si>
  <si>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</si>
  <si>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</si>
  <si>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</si>
  <si>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</si>
  <si>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</si>
  <si>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</si>
  <si>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</si>
  <si>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</si>
  <si>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</si>
  <si>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</si>
  <si>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</si>
  <si>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</si>
  <si>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</si>
  <si>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</si>
  <si>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</si>
  <si>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</si>
  <si>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</si>
  <si>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</si>
  <si>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</si>
  <si>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</si>
  <si>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</si>
  <si>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</si>
  <si>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</si>
  <si>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</si>
  <si>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</si>
  <si>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</si>
  <si>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</si>
  <si>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</si>
  <si>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</si>
  <si>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</si>
  <si>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</si>
  <si>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</si>
  <si>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</si>
  <si>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</si>
  <si>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</si>
  <si>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</si>
  <si>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</si>
  <si>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</si>
  <si>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</si>
  <si>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</si>
  <si>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</si>
  <si>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</si>
  <si>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</si>
  <si>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</si>
  <si>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</si>
  <si>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</si>
  <si>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</si>
  <si>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</si>
  <si>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</si>
  <si>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</si>
  <si>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</si>
  <si>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</si>
  <si>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</si>
  <si>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</si>
  <si>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</si>
  <si>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</si>
  <si>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</si>
  <si>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</si>
  <si>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</si>
  <si>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</si>
  <si>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</si>
  <si>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</si>
  <si>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</si>
  <si>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</si>
  <si>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</si>
  <si>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</si>
  <si>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</si>
  <si>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</si>
  <si>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</si>
  <si>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</si>
  <si>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</si>
  <si>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</si>
  <si>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</si>
  <si>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</si>
  <si>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</si>
  <si>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</si>
  <si>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</si>
  <si>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</si>
  <si>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</si>
  <si>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</si>
  <si>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</si>
  <si>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</si>
  <si>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</si>
  <si>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</si>
  <si>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</si>
  <si>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</si>
  <si>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</si>
  <si>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</si>
  <si>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</si>
  <si>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</si>
  <si>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</si>
  <si>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</si>
  <si>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</si>
  <si>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</si>
  <si>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</si>
  <si>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</si>
  <si>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</si>
  <si>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</si>
  <si>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</si>
  <si>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</si>
  <si>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</si>
  <si>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</si>
  <si>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</si>
  <si>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</si>
  <si>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</si>
  <si>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</si>
  <si>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</si>
  <si>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</si>
  <si>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</si>
  <si>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</si>
  <si>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</si>
  <si>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</si>
  <si>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</si>
  <si>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</si>
  <si>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</si>
  <si>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</si>
  <si>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</si>
  <si>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</si>
  <si>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</si>
  <si>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</si>
  <si>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</si>
  <si>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</si>
  <si>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</si>
  <si>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</si>
  <si>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</si>
  <si>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</si>
  <si>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</si>
  <si>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</si>
  <si>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</si>
  <si>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</si>
  <si>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</si>
  <si>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</si>
  <si>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</si>
  <si>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</si>
  <si>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</si>
  <si>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</si>
  <si>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</si>
  <si>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</si>
  <si>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</si>
  <si>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</si>
  <si>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</si>
  <si>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</si>
  <si>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</si>
  <si>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</si>
  <si>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</si>
  <si>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</si>
  <si>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</si>
  <si>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</si>
  <si>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</si>
  <si>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</si>
  <si>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</si>
  <si>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</si>
  <si>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</si>
  <si>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</si>
  <si>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</si>
  <si>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</si>
  <si>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</si>
  <si>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</si>
  <si>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</si>
  <si>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</si>
  <si>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</si>
  <si>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</si>
  <si>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</si>
  <si>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</si>
  <si>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</si>
  <si>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</si>
  <si>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</si>
  <si>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</si>
  <si>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</si>
  <si>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</si>
  <si>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</si>
  <si>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</si>
  <si>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</si>
  <si>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</si>
  <si>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</si>
  <si>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</si>
  <si>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</si>
  <si>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</si>
  <si>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</si>
  <si>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</si>
  <si>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</si>
  <si>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</si>
  <si>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</si>
  <si>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</si>
  <si>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</si>
  <si>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</si>
  <si>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</si>
  <si>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</si>
  <si>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</si>
  <si>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</si>
  <si>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</si>
  <si>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</si>
  <si>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</si>
  <si>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</si>
  <si>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</si>
  <si>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</si>
  <si>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</si>
  <si>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</si>
  <si>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</si>
  <si>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</si>
  <si>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</si>
  <si>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</si>
  <si>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</si>
  <si>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</si>
  <si>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</si>
  <si>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</si>
  <si>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</si>
  <si>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</si>
  <si>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</si>
  <si>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</si>
  <si>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</si>
  <si>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</si>
  <si>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</si>
  <si>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</si>
  <si>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</si>
  <si>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</si>
  <si>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</si>
  <si>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</si>
  <si>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</si>
  <si>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</si>
  <si>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</si>
  <si>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</si>
  <si>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</si>
  <si>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</si>
  <si>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</si>
  <si>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</si>
  <si>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</si>
  <si>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</si>
  <si>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</si>
  <si>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</si>
  <si>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</si>
  <si>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</si>
  <si>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</si>
  <si>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</si>
  <si>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</si>
  <si>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</si>
  <si>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</si>
  <si>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</si>
  <si>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</si>
  <si>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</si>
  <si>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</si>
  <si>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</si>
  <si>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</si>
  <si>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</si>
  <si>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</si>
  <si>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</si>
  <si>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</si>
  <si>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</si>
  <si>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</si>
  <si>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</si>
  <si>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</si>
  <si>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</si>
  <si>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</si>
  <si>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</si>
  <si>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</si>
  <si>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</si>
  <si>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</si>
  <si>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</si>
  <si>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</si>
  <si>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</si>
  <si>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</si>
  <si>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</si>
  <si>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</si>
  <si>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</si>
  <si>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</si>
  <si>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</si>
  <si>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</si>
  <si>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</si>
  <si>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</si>
  <si>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</si>
  <si>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</si>
  <si>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</si>
  <si>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</si>
  <si>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</si>
  <si>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</si>
  <si>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</si>
  <si>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</si>
  <si>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</si>
  <si>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</si>
  <si>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</si>
  <si>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</si>
  <si>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</si>
  <si>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</si>
  <si>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</si>
  <si>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</si>
  <si>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</si>
  <si>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</si>
  <si>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</si>
  <si>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</si>
  <si>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</si>
  <si>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</si>
  <si>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</si>
  <si>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</si>
  <si>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</si>
  <si>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</si>
  <si>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</si>
  <si>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</si>
  <si>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</si>
  <si>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</si>
  <si>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</si>
  <si>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</si>
  <si>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</si>
  <si>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</si>
  <si>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</si>
  <si>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</si>
  <si>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</si>
  <si>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</si>
  <si>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</si>
  <si>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</si>
  <si>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</si>
  <si>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</si>
  <si>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</si>
  <si>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</si>
  <si>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</si>
  <si>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</si>
  <si>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</si>
  <si>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</si>
  <si>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</si>
  <si>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</si>
  <si>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</si>
  <si>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</si>
  <si>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</si>
  <si>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</si>
  <si>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</si>
  <si>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</si>
  <si>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</si>
  <si>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</si>
  <si>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</si>
  <si>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</si>
  <si>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</si>
  <si>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</si>
  <si>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</si>
  <si>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</si>
  <si>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</si>
  <si>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</si>
  <si>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</si>
  <si>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</si>
  <si>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</si>
  <si>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</si>
  <si>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</si>
  <si>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</si>
  <si>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</si>
  <si>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</si>
  <si>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</si>
  <si>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</si>
  <si>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</si>
  <si>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</si>
  <si>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</si>
  <si>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</si>
  <si>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</si>
  <si>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</si>
  <si>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</si>
  <si>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</si>
  <si>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</si>
  <si>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</si>
  <si>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</si>
  <si>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</si>
  <si>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</si>
  <si>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</si>
  <si>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</si>
  <si>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</si>
  <si>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</si>
  <si>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</si>
  <si>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</si>
  <si>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</si>
  <si>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</si>
  <si>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</si>
  <si>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</si>
  <si>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</si>
  <si>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</si>
  <si>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</si>
  <si>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</si>
  <si>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</si>
  <si>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</si>
  <si>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</si>
  <si>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</si>
  <si>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</si>
  <si>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</si>
  <si>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</si>
  <si>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</si>
  <si>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</si>
  <si>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</si>
  <si>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</si>
  <si>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</si>
  <si>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</si>
  <si>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</si>
  <si>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</si>
  <si>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</si>
  <si>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</si>
  <si>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</si>
  <si>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</si>
  <si>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</si>
  <si>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</si>
  <si>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</si>
  <si>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</si>
  <si>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</si>
  <si>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</si>
  <si>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</si>
  <si>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</si>
  <si>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</si>
  <si>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</si>
  <si>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</si>
  <si>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</si>
  <si>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</si>
  <si>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</si>
  <si>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</si>
  <si>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</si>
  <si>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</si>
  <si>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</si>
  <si>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</si>
  <si>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</si>
  <si>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</si>
  <si>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</si>
  <si>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</si>
  <si>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</si>
  <si>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</si>
  <si>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</si>
  <si>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</si>
  <si>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</si>
  <si>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</si>
  <si>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</si>
  <si>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</si>
  <si>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</si>
  <si>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</si>
  <si>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</si>
  <si>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</si>
  <si>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</si>
  <si>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</si>
  <si>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</si>
  <si>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</si>
  <si>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</si>
  <si>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</si>
  <si>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</si>
  <si>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</si>
  <si>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</si>
  <si>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</si>
  <si>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</si>
  <si>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</si>
  <si>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</si>
  <si>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</si>
  <si>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</si>
  <si>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</si>
  <si>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</si>
  <si>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</si>
  <si>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</si>
  <si>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</si>
  <si>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</si>
  <si>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</si>
  <si>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</si>
  <si>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</si>
  <si>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</si>
  <si>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</si>
  <si>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</si>
  <si>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</si>
  <si>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</si>
  <si>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</si>
  <si>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</si>
  <si>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</si>
  <si>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</si>
  <si>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</si>
  <si>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</si>
  <si>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</si>
  <si>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</si>
  <si>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</si>
  <si>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</si>
  <si>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</si>
  <si>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</si>
  <si>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</si>
  <si>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</si>
  <si>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</si>
  <si>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</si>
  <si>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</si>
  <si>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</si>
  <si>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</si>
  <si>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</si>
  <si>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</si>
  <si>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</si>
  <si>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</si>
  <si>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</si>
  <si>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</si>
  <si>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</si>
  <si>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</si>
  <si>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</si>
  <si>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</si>
  <si>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</si>
  <si>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</si>
  <si>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</si>
  <si>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</si>
  <si>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</si>
  <si>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</si>
  <si>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</si>
  <si>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</si>
  <si>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</si>
  <si>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</si>
  <si>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</si>
  <si>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</si>
  <si>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</si>
  <si>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</si>
  <si>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</si>
  <si>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</si>
  <si>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</si>
  <si>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</si>
  <si>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</si>
  <si>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</si>
  <si>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</si>
  <si>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</si>
  <si>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</si>
  <si>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</si>
  <si>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</si>
  <si>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</si>
  <si>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</si>
  <si>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</si>
  <si>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</si>
  <si>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</si>
  <si>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</si>
  <si>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</si>
  <si>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</si>
  <si>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</si>
  <si>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</si>
  <si>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</si>
  <si>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</si>
  <si>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</si>
  <si>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</si>
  <si>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</si>
  <si>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</si>
  <si>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</si>
  <si>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</si>
  <si>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</si>
  <si>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</si>
  <si>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</si>
  <si>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</si>
  <si>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</si>
  <si>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</si>
  <si>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</si>
  <si>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</si>
  <si>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</si>
  <si>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</si>
  <si>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</si>
  <si>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</si>
  <si>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</si>
  <si>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</si>
  <si>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</si>
  <si>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</si>
  <si>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</si>
  <si>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</si>
  <si>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</si>
  <si>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</si>
  <si>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</si>
  <si>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</si>
  <si>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</si>
  <si>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</si>
  <si>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</si>
  <si>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</si>
  <si>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</si>
  <si>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</si>
  <si>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</si>
  <si>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</si>
  <si>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</si>
  <si>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</si>
  <si>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</si>
  <si>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</si>
  <si>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</si>
  <si>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</si>
  <si>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</si>
  <si>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</si>
  <si>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</si>
  <si>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</si>
  <si>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</si>
  <si>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</si>
  <si>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</si>
  <si>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</si>
  <si>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</si>
  <si>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</si>
  <si>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</si>
  <si>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</si>
  <si>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</si>
  <si>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</si>
  <si>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</si>
  <si>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</si>
  <si>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</si>
  <si>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</si>
  <si>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</si>
  <si>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</si>
  <si>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</si>
  <si>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</si>
  <si>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</si>
  <si>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</si>
  <si>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</si>
  <si>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</si>
  <si>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</si>
  <si>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</si>
  <si>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</si>
  <si>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</si>
  <si>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</si>
  <si>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</si>
  <si>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</si>
  <si>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</si>
  <si>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</si>
  <si>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</si>
  <si>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</si>
  <si>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</si>
  <si>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</si>
  <si>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</si>
  <si>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</si>
  <si>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</si>
  <si>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</si>
  <si>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</si>
  <si>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</si>
  <si>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</si>
  <si>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</si>
  <si>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</si>
  <si>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</si>
  <si>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</si>
  <si>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</si>
  <si>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</si>
  <si>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</si>
  <si>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</si>
  <si>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</si>
  <si>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</si>
  <si>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</si>
  <si>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</si>
  <si>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</si>
  <si>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</si>
  <si>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</si>
  <si>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</si>
  <si>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</si>
  <si>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</si>
  <si>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</si>
  <si>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</si>
  <si>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</si>
  <si>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</si>
  <si>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</si>
  <si>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</si>
  <si>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</si>
  <si>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</si>
  <si>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</si>
  <si>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</si>
  <si>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</si>
  <si>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</si>
  <si>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</si>
  <si>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</si>
  <si>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</si>
  <si>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</si>
  <si>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</si>
  <si>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</si>
  <si>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</si>
  <si>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</si>
  <si>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</si>
  <si>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</si>
  <si>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</si>
  <si>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</si>
  <si>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</si>
  <si>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</si>
  <si>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</si>
  <si>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</si>
  <si>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</si>
  <si>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</si>
  <si>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</si>
  <si>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</si>
  <si>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</si>
  <si>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</si>
  <si>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</si>
  <si>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</si>
  <si>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</si>
  <si>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</si>
  <si>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</si>
  <si>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</si>
  <si>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</si>
  <si>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</si>
  <si>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</si>
  <si>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</si>
  <si>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</si>
  <si>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</si>
  <si>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</si>
  <si>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</si>
  <si>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</si>
  <si>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</si>
  <si>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</si>
  <si>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</si>
  <si>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</si>
  <si>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</si>
  <si>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</si>
  <si>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</si>
  <si>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</si>
  <si>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</si>
  <si>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</si>
  <si>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</si>
  <si>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</si>
  <si>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</si>
  <si>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</si>
  <si>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</si>
  <si>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</si>
  <si>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</si>
  <si>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</si>
  <si>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</si>
  <si>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</si>
  <si>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</si>
  <si>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</si>
  <si>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</si>
  <si>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</si>
  <si>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</si>
  <si>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</si>
  <si>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</si>
  <si>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</si>
  <si>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</si>
  <si>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</si>
  <si>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</si>
  <si>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</si>
  <si>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</si>
  <si>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</si>
  <si>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</si>
  <si>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</si>
  <si>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</si>
  <si>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</si>
  <si>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</si>
  <si>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</si>
  <si>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</si>
  <si>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</si>
  <si>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</si>
  <si>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</si>
  <si>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</si>
  <si>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</si>
  <si>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</si>
  <si>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</si>
  <si>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</si>
  <si>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</si>
  <si>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</si>
  <si>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</si>
  <si>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</si>
  <si>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</si>
  <si>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</si>
  <si>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</si>
  <si>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</si>
  <si>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</si>
  <si>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</si>
  <si>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</si>
  <si>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</si>
  <si>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</si>
  <si>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</si>
  <si>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</si>
  <si>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</si>
  <si>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</si>
  <si>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</si>
  <si>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</si>
  <si>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</si>
  <si>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</si>
  <si>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</si>
  <si>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</si>
  <si>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</si>
  <si>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</si>
  <si>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</si>
  <si>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</si>
  <si>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</si>
  <si>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</si>
  <si>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</si>
  <si>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</si>
  <si>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</si>
  <si>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</si>
  <si>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</si>
  <si>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</si>
  <si>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</si>
  <si>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</si>
  <si>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</si>
  <si>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</si>
  <si>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</si>
  <si>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</si>
  <si>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</si>
  <si>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</si>
  <si>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</si>
  <si>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</si>
  <si>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</si>
  <si>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</si>
  <si>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</si>
  <si>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</si>
  <si>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</si>
  <si>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</si>
  <si>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</si>
  <si>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</si>
  <si>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</si>
  <si>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</si>
  <si>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</si>
  <si>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</si>
  <si>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</si>
  <si>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</si>
  <si>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</si>
  <si>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</si>
  <si>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</si>
  <si>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</si>
  <si>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</si>
  <si>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</si>
  <si>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</si>
  <si>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</si>
  <si>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</si>
  <si>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</si>
  <si>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</si>
  <si>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</si>
  <si>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</si>
  <si>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</si>
  <si>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</si>
  <si>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</si>
  <si>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</si>
  <si>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</si>
  <si>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</si>
  <si>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</si>
  <si>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</si>
  <si>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</si>
  <si>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</si>
  <si>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</si>
  <si>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</si>
  <si>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</si>
  <si>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</si>
  <si>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</si>
  <si>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</si>
  <si>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</si>
  <si>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</si>
  <si>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</si>
  <si>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</si>
  <si>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</si>
  <si>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</si>
  <si>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</si>
  <si>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</si>
  <si>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</si>
  <si>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</si>
  <si>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</si>
  <si>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</si>
  <si>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</si>
  <si>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</si>
  <si>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</si>
  <si>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</si>
  <si>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</si>
  <si>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</si>
  <si>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</si>
  <si>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</si>
  <si>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</si>
  <si>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</si>
  <si>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</si>
  <si>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</si>
  <si>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</si>
  <si>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</si>
  <si>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</si>
  <si>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</si>
  <si>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</si>
  <si>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</si>
  <si>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</si>
  <si>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</si>
  <si>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</si>
  <si>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</si>
  <si>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</si>
  <si>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</si>
  <si>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</si>
  <si>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</si>
  <si>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</si>
  <si>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</si>
  <si>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</si>
  <si>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</si>
  <si>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</si>
  <si>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</si>
  <si>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</si>
  <si>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</si>
  <si>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</si>
  <si>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</si>
  <si>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</si>
  <si>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</si>
  <si>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</si>
  <si>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</si>
  <si>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</si>
  <si>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</si>
  <si>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</si>
  <si>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</si>
  <si>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</si>
  <si>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</si>
  <si>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</si>
  <si>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</si>
  <si>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</si>
  <si>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</si>
  <si>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</si>
  <si>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</si>
  <si>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</si>
  <si>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</si>
  <si>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</si>
  <si>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</si>
  <si>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</si>
  <si>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</si>
  <si>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</si>
  <si>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</si>
  <si>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</si>
  <si>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</si>
  <si>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</si>
  <si>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</si>
  <si>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</si>
  <si>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</si>
  <si>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</si>
  <si>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</si>
  <si>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</si>
  <si>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</si>
  <si>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</si>
  <si>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</si>
  <si>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</si>
  <si>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</si>
  <si>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</si>
  <si>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</si>
  <si>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</si>
  <si>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</si>
  <si>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</si>
  <si>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</si>
  <si>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</si>
  <si>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</si>
  <si>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</si>
  <si>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</si>
  <si>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</si>
  <si>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</si>
  <si>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</si>
  <si>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</si>
  <si>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</si>
  <si>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</si>
  <si>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</si>
  <si>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</si>
  <si>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</si>
  <si>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</si>
  <si>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</si>
  <si>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</si>
  <si>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</si>
  <si>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</si>
  <si>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</si>
  <si>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</si>
  <si>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</si>
  <si>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</si>
  <si>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</si>
  <si>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</si>
  <si>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</si>
  <si>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</si>
  <si>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</si>
  <si>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</si>
  <si>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</si>
  <si>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</si>
  <si>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</si>
  <si>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</si>
  <si>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</si>
  <si>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</si>
  <si>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</si>
  <si>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</si>
  <si>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</si>
  <si>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</si>
  <si>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</si>
  <si>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</si>
  <si>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</si>
  <si>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</si>
  <si>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</si>
  <si>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</si>
  <si>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</si>
  <si>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</si>
  <si>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</si>
  <si>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</si>
  <si>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</si>
  <si>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</si>
  <si>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</si>
  <si>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</si>
  <si>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</si>
  <si>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</si>
  <si>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</si>
  <si>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</si>
  <si>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</si>
  <si>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</si>
  <si>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</si>
  <si>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</si>
  <si>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</si>
  <si>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</si>
  <si>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</si>
  <si>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</si>
  <si>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</si>
  <si>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</si>
  <si>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</si>
  <si>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</si>
  <si>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</si>
  <si>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</si>
  <si>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</si>
  <si>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</si>
  <si>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</si>
  <si>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</si>
  <si>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</si>
  <si>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</si>
  <si>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</si>
  <si>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</si>
  <si>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</si>
  <si>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</si>
  <si>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</si>
  <si>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</si>
  <si>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</si>
  <si>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</si>
  <si>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</si>
  <si>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</si>
  <si>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</si>
  <si>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</si>
  <si>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</si>
  <si>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</si>
  <si>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</si>
  <si>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</si>
  <si>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</si>
  <si>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</si>
  <si>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</si>
  <si>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</si>
  <si>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</si>
  <si>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</si>
  <si>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</si>
  <si>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</si>
  <si>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</si>
  <si>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</si>
  <si>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</si>
  <si>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</si>
  <si>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</si>
  <si>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</si>
  <si>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</si>
  <si>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</si>
  <si>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</si>
  <si>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</si>
  <si>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</si>
  <si>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</si>
  <si>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</si>
  <si>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</si>
  <si>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</si>
  <si>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</si>
  <si>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</si>
  <si>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</si>
  <si>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</si>
  <si>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</si>
  <si>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</si>
  <si>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</si>
  <si>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</si>
  <si>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</si>
  <si>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</si>
  <si>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</si>
  <si>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</si>
  <si>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</si>
  <si>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</si>
  <si>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</si>
  <si>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</si>
  <si>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</si>
  <si>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</si>
  <si>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</si>
  <si>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</si>
  <si>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</si>
  <si>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</si>
  <si>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</si>
  <si>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</si>
  <si>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</si>
  <si>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</si>
  <si>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</si>
  <si>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</si>
  <si>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</si>
  <si>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</si>
  <si>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</si>
  <si>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</si>
  <si>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</si>
  <si>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</si>
  <si>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</si>
  <si>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</si>
  <si>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</si>
  <si>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</si>
  <si>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</si>
  <si>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</si>
  <si>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</si>
  <si>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</si>
  <si>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</si>
  <si>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</si>
  <si>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</si>
  <si>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</si>
  <si>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</si>
  <si>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</si>
  <si>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</si>
  <si>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</si>
  <si>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</si>
  <si>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</si>
  <si>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</si>
  <si>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</si>
  <si>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</si>
  <si>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</si>
  <si>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</si>
  <si>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</si>
  <si>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</si>
  <si>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</si>
  <si>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</si>
  <si>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</si>
  <si>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</si>
  <si>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</si>
  <si>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</si>
  <si>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</si>
  <si>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</si>
  <si>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</si>
  <si>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</si>
  <si>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</si>
  <si>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</si>
  <si>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</si>
  <si>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</si>
  <si>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</si>
  <si>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</si>
  <si>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</si>
  <si>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</si>
  <si>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</si>
  <si>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</si>
  <si>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</si>
  <si>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</si>
  <si>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</si>
  <si>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</si>
  <si>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</si>
  <si>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</si>
  <si>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</si>
  <si>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</si>
  <si>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</si>
  <si>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</si>
  <si>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</si>
  <si>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</si>
  <si>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</si>
  <si>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</si>
  <si>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</si>
  <si>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</si>
  <si>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</si>
  <si>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</si>
  <si>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</si>
  <si>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</si>
  <si>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</si>
  <si>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</si>
  <si>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</si>
  <si>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</si>
  <si>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</si>
  <si>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</si>
  <si>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</si>
  <si>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</si>
  <si>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</si>
  <si>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</si>
  <si>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</si>
  <si>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</si>
  <si>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</si>
  <si>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</si>
  <si>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</si>
  <si>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</si>
  <si>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</si>
  <si>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</si>
  <si>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</si>
  <si>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</si>
  <si>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</si>
  <si>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</si>
  <si>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</si>
  <si>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</si>
  <si>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</si>
  <si>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</si>
  <si>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</si>
  <si>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</si>
  <si>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</si>
  <si>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</si>
  <si>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</si>
  <si>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</si>
  <si>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</si>
  <si>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</si>
  <si>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</si>
  <si>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</si>
  <si>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</si>
  <si>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</si>
  <si>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</si>
  <si>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</si>
  <si>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</si>
  <si>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</si>
  <si>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</si>
  <si>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</si>
  <si>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</si>
  <si>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</si>
  <si>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</si>
  <si>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</si>
  <si>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</si>
  <si>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</si>
  <si>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</si>
  <si>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</si>
  <si>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</si>
  <si>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</si>
  <si>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</si>
  <si>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</si>
  <si>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</si>
  <si>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</si>
  <si>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</si>
  <si>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</si>
  <si>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</si>
  <si>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</si>
  <si>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</si>
  <si>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</si>
  <si>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</si>
  <si>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</si>
  <si>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</si>
  <si>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</si>
  <si>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</si>
  <si>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</si>
  <si>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</si>
  <si>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</si>
  <si>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</si>
  <si>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</si>
  <si>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</si>
  <si>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</si>
  <si>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</si>
  <si>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</si>
  <si>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</si>
  <si>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</si>
  <si>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</si>
  <si>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</si>
  <si>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</si>
  <si>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</si>
  <si>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</si>
  <si>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</si>
  <si>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</si>
  <si>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</si>
  <si>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</si>
  <si>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</si>
  <si>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</si>
  <si>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</si>
  <si>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</si>
  <si>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</si>
  <si>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</si>
  <si>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</si>
  <si>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</si>
  <si>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</si>
  <si>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</si>
  <si>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</si>
  <si>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</si>
  <si>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</si>
  <si>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</si>
  <si>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</si>
  <si>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</si>
  <si>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</si>
  <si>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</si>
  <si>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</si>
  <si>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</si>
  <si>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</si>
  <si>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</si>
  <si>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</si>
  <si>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</si>
  <si>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</si>
  <si>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</si>
  <si>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</si>
  <si>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</si>
  <si>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</si>
  <si>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</si>
  <si>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</si>
  <si>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</si>
  <si>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</si>
  <si>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</si>
  <si>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</si>
  <si>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</si>
  <si>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</si>
  <si>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</si>
  <si>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</si>
  <si>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</si>
  <si>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</si>
  <si>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</si>
  <si>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</si>
  <si>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</si>
  <si>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</si>
  <si>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</si>
  <si>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</si>
  <si>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</si>
  <si>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</si>
  <si>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</si>
  <si>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</si>
  <si>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</si>
  <si>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</si>
  <si>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</si>
  <si>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</si>
  <si>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</si>
  <si>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</si>
  <si>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</si>
  <si>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</si>
  <si>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</si>
  <si>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</si>
  <si>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</si>
  <si>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</si>
  <si>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</si>
  <si>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</si>
  <si>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</si>
  <si>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</si>
  <si>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</si>
  <si>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</si>
  <si>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</si>
  <si>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</si>
  <si>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</si>
  <si>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</si>
  <si>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</si>
  <si>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</si>
  <si>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</si>
  <si>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</si>
  <si>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</si>
  <si>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</si>
  <si>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</si>
  <si>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</si>
  <si>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</si>
  <si>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</si>
  <si>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</si>
  <si>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</si>
  <si>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</si>
  <si>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</si>
  <si>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</si>
  <si>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</si>
  <si>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</si>
  <si>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</si>
  <si>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</si>
  <si>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</si>
  <si>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</si>
  <si>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</si>
  <si>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</si>
  <si>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</si>
  <si>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</si>
  <si>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</si>
  <si>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</si>
  <si>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</si>
  <si>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</si>
  <si>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</si>
  <si>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</si>
  <si>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</si>
  <si>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</si>
  <si>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</si>
  <si>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</si>
  <si>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</si>
  <si>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</si>
  <si>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</si>
  <si>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</si>
  <si>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</si>
  <si>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</si>
  <si>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</si>
  <si>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</si>
  <si>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</si>
  <si>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</si>
  <si>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</si>
  <si>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</si>
  <si>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</si>
  <si>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</si>
  <si>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</si>
  <si>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</si>
  <si>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</si>
  <si>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</si>
  <si>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</si>
  <si>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</si>
  <si>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</si>
  <si>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</si>
  <si>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</si>
  <si>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</si>
  <si>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</si>
  <si>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</si>
  <si>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</si>
  <si>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</si>
  <si>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</si>
  <si>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</si>
  <si>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</si>
  <si>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</si>
  <si>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</si>
  <si>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</si>
  <si>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</si>
  <si>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</si>
  <si>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</si>
  <si>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</si>
  <si>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</si>
  <si>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</si>
  <si>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</si>
  <si>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</si>
  <si>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</si>
  <si>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</si>
  <si>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</si>
  <si>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</si>
  <si>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</si>
  <si>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</si>
  <si>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</si>
  <si>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</si>
  <si>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</si>
  <si>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</si>
  <si>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</si>
  <si>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</si>
  <si>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</si>
  <si>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</si>
  <si>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</si>
  <si>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</si>
  <si>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</si>
  <si>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</si>
  <si>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</si>
  <si>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</si>
  <si>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</si>
  <si>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</si>
  <si>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</si>
  <si>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</si>
  <si>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</si>
  <si>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</si>
  <si>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</si>
  <si>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</si>
  <si>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</si>
  <si>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</si>
  <si>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</si>
  <si>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</si>
  <si>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</si>
  <si>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</si>
  <si>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</si>
  <si>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</si>
  <si>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</si>
  <si>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</si>
  <si>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</si>
  <si>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</si>
  <si>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</si>
  <si>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</si>
  <si>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</si>
  <si>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</si>
  <si>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</si>
  <si>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</si>
  <si>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</si>
  <si>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</si>
  <si>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</si>
  <si>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</si>
  <si>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</si>
  <si>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</si>
  <si>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</si>
  <si>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</si>
  <si>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</si>
  <si>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</si>
  <si>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</si>
  <si>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</si>
  <si>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</si>
  <si>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</si>
  <si>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</si>
  <si>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</si>
  <si>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</si>
  <si>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</si>
  <si>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</si>
  <si>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</si>
  <si>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</si>
  <si>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</si>
  <si>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</si>
  <si>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</si>
  <si>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</si>
  <si>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</si>
  <si>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</si>
  <si>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</si>
  <si>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</si>
  <si>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</si>
  <si>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</si>
  <si>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</si>
  <si>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</si>
  <si>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</si>
  <si>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</si>
  <si>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</si>
  <si>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</si>
  <si>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</si>
  <si>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</si>
  <si>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</si>
  <si>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</si>
  <si>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</si>
  <si>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</si>
  <si>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</si>
  <si>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</si>
  <si>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</si>
  <si>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</si>
  <si>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</si>
  <si>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</si>
  <si>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</si>
  <si>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</si>
  <si>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</si>
  <si>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</si>
  <si>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</si>
  <si>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</si>
  <si>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</si>
  <si>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</si>
  <si>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</si>
  <si>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</si>
  <si>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</si>
  <si>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</si>
  <si>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</si>
  <si>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</si>
  <si>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</si>
  <si>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</si>
  <si>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</si>
  <si>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</si>
  <si>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</si>
  <si>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</si>
  <si>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</si>
  <si>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</si>
  <si>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</si>
  <si>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</si>
  <si>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</si>
  <si>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</si>
  <si>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</si>
  <si>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</si>
  <si>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</si>
  <si>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</si>
  <si>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</si>
  <si>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</si>
  <si>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</si>
  <si>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</si>
  <si>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</si>
  <si>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</si>
  <si>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</si>
  <si>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</si>
  <si>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</si>
  <si>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</si>
  <si>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</si>
  <si>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</si>
  <si>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</si>
  <si>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</si>
  <si>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</si>
  <si>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</si>
  <si>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</si>
  <si>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</si>
  <si>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</si>
  <si>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</si>
  <si>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</si>
  <si>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</si>
  <si>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</si>
  <si>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</si>
  <si>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</si>
  <si>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</si>
  <si>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</si>
  <si>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</si>
  <si>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</si>
  <si>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</si>
  <si>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</si>
  <si>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</si>
  <si>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</si>
  <si>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</si>
  <si>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</si>
  <si>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</si>
  <si>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</si>
  <si>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</si>
  <si>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</si>
  <si>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</si>
  <si>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</si>
  <si>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</si>
  <si>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</si>
  <si>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</si>
  <si>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</si>
  <si>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</si>
  <si>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</si>
  <si>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</si>
  <si>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</si>
  <si>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</si>
  <si>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</si>
  <si>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</si>
  <si>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</si>
  <si>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</si>
  <si>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</si>
  <si>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</si>
  <si>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</si>
  <si>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</si>
  <si>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</si>
  <si>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</si>
  <si>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</si>
  <si>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</si>
  <si>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</si>
  <si>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</si>
  <si>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</si>
  <si>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</si>
  <si>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</si>
  <si>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</si>
  <si>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</si>
  <si>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</si>
  <si>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</si>
  <si>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</si>
  <si>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</si>
  <si>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</si>
  <si>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</si>
  <si>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</si>
  <si>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</si>
  <si>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</si>
  <si>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</si>
  <si>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</si>
  <si>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</si>
  <si>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</si>
  <si>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</si>
  <si>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</si>
  <si>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</si>
  <si>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</si>
  <si>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</si>
  <si>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</si>
  <si>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</si>
  <si>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</si>
  <si>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</si>
  <si>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</si>
  <si>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</si>
  <si>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</si>
  <si>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</si>
  <si>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</si>
  <si>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</si>
  <si>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</si>
  <si>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</si>
  <si>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</si>
  <si>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</si>
  <si>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</si>
  <si>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</si>
  <si>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</si>
  <si>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</si>
  <si>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</si>
  <si>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</si>
  <si>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</si>
  <si>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</si>
  <si>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</si>
  <si>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</si>
  <si>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</si>
  <si>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</si>
  <si>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</si>
  <si>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</si>
  <si>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</si>
  <si>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</si>
  <si>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</si>
  <si>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</si>
  <si>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</si>
  <si>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</si>
  <si>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</si>
  <si>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</si>
  <si>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</si>
  <si>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</si>
  <si>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</si>
  <si>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</si>
  <si>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</si>
  <si>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</si>
  <si>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</si>
  <si>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</si>
  <si>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</si>
  <si>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</si>
  <si>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</si>
  <si>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</si>
  <si>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</si>
  <si>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</si>
  <si>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</si>
  <si>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</si>
  <si>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</si>
  <si>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</si>
  <si>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</si>
  <si>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</si>
  <si>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</si>
  <si>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</si>
  <si>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</si>
  <si>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</si>
  <si>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</si>
  <si>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</si>
  <si>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</si>
  <si>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</si>
  <si>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</si>
  <si>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</si>
  <si>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</si>
  <si>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</si>
  <si>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</si>
  <si>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</si>
  <si>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</si>
  <si>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</si>
  <si>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</si>
  <si>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</si>
  <si>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</si>
  <si>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</si>
  <si>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</si>
  <si>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</si>
  <si>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</si>
  <si>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</si>
  <si>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</si>
  <si>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</si>
  <si>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</si>
  <si>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</si>
  <si>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</si>
  <si>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</si>
  <si>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</si>
  <si>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</si>
  <si>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</si>
  <si>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</si>
  <si>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</si>
  <si>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</si>
  <si>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</si>
  <si>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</si>
  <si>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</si>
  <si>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</si>
  <si>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</si>
  <si>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</si>
  <si>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</si>
  <si>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</si>
  <si>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</si>
  <si>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</si>
  <si>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</si>
  <si>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</si>
  <si>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</si>
  <si>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</si>
  <si>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</si>
  <si>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</si>
  <si>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</si>
  <si>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</si>
  <si>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</si>
  <si>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</si>
  <si>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</si>
  <si>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</si>
  <si>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</si>
  <si>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</si>
  <si>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</si>
  <si>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</si>
  <si>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</si>
  <si>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</si>
  <si>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</si>
  <si>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</si>
  <si>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</si>
  <si>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</si>
  <si>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</si>
  <si>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</si>
  <si>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</si>
  <si>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</si>
  <si>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</si>
  <si>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</si>
  <si>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</si>
  <si>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</si>
  <si>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</si>
  <si>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</si>
  <si>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</si>
  <si>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</si>
  <si>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</si>
  <si>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</si>
  <si>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</si>
  <si>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</si>
  <si>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</si>
  <si>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</si>
  <si>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</si>
  <si>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</si>
  <si>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</si>
  <si>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</si>
  <si>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</si>
  <si>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</si>
  <si>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</si>
  <si>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</si>
  <si>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</si>
  <si>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</si>
  <si>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</si>
  <si>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</si>
  <si>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</si>
  <si>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</si>
  <si>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</si>
  <si>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</si>
  <si>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</si>
  <si>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</si>
  <si>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</si>
  <si>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</si>
  <si>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</si>
  <si>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</si>
  <si>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</si>
  <si>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</si>
  <si>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</si>
  <si>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</si>
  <si>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</si>
  <si>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</si>
  <si>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</si>
  <si>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</si>
  <si>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</si>
  <si>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</si>
  <si>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</si>
  <si>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</si>
  <si>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</si>
  <si>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</si>
  <si>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</si>
  <si>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</si>
  <si>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</si>
  <si>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</si>
  <si>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</si>
  <si>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</si>
  <si>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</si>
  <si>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</si>
  <si>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</si>
  <si>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</si>
  <si>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</si>
  <si>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</si>
  <si>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</si>
  <si>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</si>
  <si>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</si>
  <si>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</si>
  <si>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</si>
  <si>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</si>
  <si>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</si>
  <si>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</si>
  <si>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</si>
  <si>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</si>
  <si>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</si>
  <si>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</si>
  <si>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</si>
  <si>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</si>
  <si>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</si>
  <si>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</si>
  <si>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</si>
  <si>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</si>
  <si>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</si>
  <si>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</si>
  <si>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</si>
  <si>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</si>
  <si>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</si>
  <si>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</si>
  <si>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</si>
  <si>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</si>
  <si>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</si>
  <si>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</si>
  <si>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</si>
  <si>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</si>
  <si>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</si>
  <si>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</si>
  <si>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</si>
  <si>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</si>
  <si>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</si>
  <si>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</si>
  <si>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</si>
  <si>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</si>
  <si>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</si>
  <si>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</si>
  <si>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</si>
  <si>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</si>
  <si>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</si>
  <si>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</si>
  <si>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</si>
  <si>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</si>
  <si>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</si>
  <si>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</si>
  <si>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</si>
  <si>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</si>
  <si>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</si>
  <si>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</si>
  <si>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</si>
  <si>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</si>
  <si>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</si>
  <si>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</si>
  <si>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</si>
  <si>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</si>
  <si>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</si>
  <si>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</si>
  <si>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</si>
  <si>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</si>
  <si>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</si>
  <si>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</si>
  <si>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</si>
  <si>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</si>
  <si>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</si>
  <si>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</si>
  <si>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</si>
  <si>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</si>
  <si>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</si>
  <si>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</si>
  <si>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</si>
  <si>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</si>
  <si>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</si>
  <si>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</si>
  <si>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</si>
  <si>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</si>
  <si>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</si>
  <si>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</si>
  <si>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</si>
  <si>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</si>
  <si>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</si>
  <si>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</si>
  <si>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</si>
  <si>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</si>
  <si>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</si>
  <si>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</si>
  <si>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</si>
  <si>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</si>
  <si>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</si>
  <si>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</si>
  <si>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</si>
  <si>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</si>
  <si>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</si>
  <si>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</si>
  <si>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</si>
  <si>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</si>
  <si>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</si>
  <si>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</si>
  <si>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</si>
  <si>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</si>
  <si>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</si>
  <si>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</si>
  <si>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</si>
  <si>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</si>
  <si>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</si>
  <si>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</si>
  <si>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</si>
  <si>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</si>
  <si>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</si>
  <si>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</si>
  <si>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</si>
  <si>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</si>
  <si>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</si>
  <si>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</si>
  <si>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</si>
  <si>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</si>
  <si>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</si>
  <si>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</si>
  <si>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</si>
  <si>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</si>
  <si>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</si>
  <si>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</si>
  <si>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</si>
  <si>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</si>
  <si>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</si>
  <si>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</si>
  <si>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</si>
  <si>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</si>
  <si>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</si>
  <si>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</si>
  <si>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</si>
  <si>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</si>
  <si>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</si>
  <si>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</si>
  <si>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</si>
  <si>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</si>
  <si>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</si>
  <si>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</si>
  <si>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</si>
  <si>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</si>
  <si>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</si>
  <si>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</si>
  <si>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</si>
  <si>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</si>
  <si>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</si>
  <si>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</si>
  <si>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</si>
  <si>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</si>
  <si>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</si>
  <si>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</si>
  <si>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</si>
  <si>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</si>
  <si>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</si>
  <si>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</si>
  <si>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</si>
  <si>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</si>
  <si>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</si>
  <si>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</si>
  <si>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</si>
  <si>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</si>
  <si>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</si>
  <si>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</si>
  <si>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</si>
  <si>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</si>
  <si>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</si>
  <si>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</si>
  <si>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</si>
  <si>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</si>
  <si>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</si>
  <si>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</si>
  <si>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</si>
  <si>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</si>
  <si>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</si>
  <si>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</si>
  <si>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</si>
  <si>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</si>
  <si>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</si>
  <si>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</si>
  <si>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</si>
  <si>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</si>
  <si>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</si>
  <si>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</si>
  <si>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</si>
  <si>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</si>
  <si>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</si>
  <si>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</si>
  <si>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</si>
  <si>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</si>
  <si>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</si>
  <si>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</si>
  <si>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</si>
  <si>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</si>
  <si>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</si>
  <si>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</si>
  <si>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</si>
  <si>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</si>
  <si>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</si>
  <si>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</si>
  <si>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</si>
  <si>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</si>
  <si>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</si>
  <si>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</si>
  <si>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</si>
  <si>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</si>
  <si>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</si>
  <si>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</si>
  <si>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</si>
  <si>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</si>
  <si>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</si>
  <si>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</si>
  <si>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</si>
  <si>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</si>
  <si>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</si>
  <si>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</si>
  <si>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</si>
  <si>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</si>
  <si>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</si>
  <si>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</si>
  <si>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</si>
  <si>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</si>
  <si>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</si>
  <si>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</si>
  <si>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</si>
  <si>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</si>
  <si>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</si>
  <si>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</si>
  <si>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</si>
  <si>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</si>
  <si>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</si>
  <si>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</si>
  <si>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</si>
  <si>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</si>
  <si>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</si>
  <si>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</si>
  <si>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</si>
  <si>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</si>
  <si>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</si>
  <si>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</si>
  <si>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</si>
  <si>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</si>
  <si>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</si>
  <si>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</si>
  <si>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</si>
  <si>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</si>
  <si>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</si>
  <si>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</si>
  <si>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</si>
  <si>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</si>
  <si>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</si>
  <si>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</si>
  <si>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</si>
  <si>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</si>
  <si>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</si>
  <si>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</si>
  <si>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</si>
  <si>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</si>
  <si>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</si>
  <si>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</si>
  <si>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</si>
  <si>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</si>
  <si>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</si>
  <si>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</si>
  <si>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</si>
  <si>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</si>
  <si>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</si>
  <si>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</si>
  <si>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</si>
  <si>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</si>
  <si>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</si>
  <si>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</si>
  <si>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</si>
  <si>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</si>
  <si>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</si>
  <si>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</si>
  <si>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</si>
  <si>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</si>
  <si>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</si>
  <si>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</si>
  <si>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</si>
  <si>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</si>
  <si>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</si>
  <si>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</si>
  <si>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</si>
  <si>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</si>
  <si>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</si>
  <si>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</si>
  <si>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</si>
  <si>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</si>
  <si>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</si>
  <si>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</si>
  <si>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</si>
  <si>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</si>
  <si>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</si>
  <si>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</si>
  <si>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</si>
  <si>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</si>
  <si>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</si>
  <si>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</si>
  <si>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</si>
  <si>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</si>
  <si>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</si>
  <si>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</si>
  <si>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</si>
  <si>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</si>
  <si>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</si>
  <si>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</si>
  <si>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</si>
  <si>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</si>
  <si>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</si>
  <si>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</si>
  <si>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</si>
  <si>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</si>
  <si>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</si>
  <si>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</si>
  <si>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</si>
  <si>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</si>
  <si>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</si>
  <si>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</si>
  <si>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</si>
  <si>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</si>
  <si>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</si>
  <si>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</si>
  <si>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</si>
  <si>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</si>
  <si>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</si>
  <si>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</si>
  <si>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</si>
  <si>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</si>
  <si>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</si>
  <si>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</si>
  <si>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</si>
  <si>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</si>
  <si>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</si>
  <si>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</si>
  <si>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</si>
  <si>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</si>
  <si>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</si>
  <si>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</si>
  <si>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</si>
  <si>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</si>
  <si>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</si>
  <si>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</si>
  <si>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</si>
  <si>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</si>
  <si>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</si>
  <si>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</si>
  <si>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</si>
  <si>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</si>
  <si>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</si>
  <si>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</si>
  <si>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</si>
  <si>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</si>
  <si>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</si>
  <si>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</si>
  <si>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</si>
  <si>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</si>
  <si>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</si>
  <si>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</si>
  <si>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</si>
  <si>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</si>
  <si>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</si>
  <si>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</si>
  <si>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</si>
  <si>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</si>
  <si>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</si>
  <si>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</si>
  <si>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</si>
  <si>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</si>
  <si>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</si>
  <si>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</si>
  <si>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</si>
  <si>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</si>
  <si>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</si>
  <si>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</si>
  <si>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</si>
  <si>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</si>
  <si>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</si>
  <si>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</si>
  <si>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</si>
  <si>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</si>
  <si>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</si>
  <si>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</si>
  <si>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</si>
  <si>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</si>
  <si>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</si>
  <si>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</si>
  <si>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</si>
  <si>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</si>
  <si>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</si>
  <si>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</si>
  <si>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</si>
  <si>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</si>
  <si>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</si>
  <si>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</si>
  <si>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</si>
  <si>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</si>
  <si>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</si>
  <si>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</si>
  <si>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</si>
  <si>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</si>
  <si>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</si>
  <si>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</si>
  <si>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</si>
  <si>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</si>
  <si>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</si>
  <si>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</si>
  <si>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</si>
  <si>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</si>
  <si>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</si>
  <si>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</si>
  <si>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</si>
  <si>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</si>
  <si>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</si>
  <si>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</si>
  <si>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</si>
  <si>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</si>
  <si>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</si>
  <si>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</si>
  <si>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</si>
  <si>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</si>
  <si>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</si>
  <si>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</si>
  <si>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</si>
  <si>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</si>
  <si>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</si>
  <si>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</si>
  <si>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</si>
  <si>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</si>
  <si>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</si>
  <si>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</si>
  <si>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</si>
  <si>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</si>
  <si>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</si>
  <si>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</si>
  <si>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</si>
  <si>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</si>
  <si>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</si>
  <si>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</si>
  <si>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</si>
  <si>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</si>
  <si>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</si>
  <si>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</si>
  <si>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</si>
  <si>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</si>
  <si>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</si>
  <si>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</si>
  <si>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</si>
  <si>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</si>
  <si>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</si>
  <si>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</si>
  <si>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</si>
  <si>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</si>
  <si>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</si>
  <si>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</si>
  <si>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</si>
  <si>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</si>
  <si>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</si>
  <si>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</si>
  <si>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</si>
  <si>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</si>
  <si>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</si>
  <si>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</si>
  <si>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</si>
  <si>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</si>
  <si>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</si>
  <si>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</si>
  <si>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</si>
  <si>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</si>
  <si>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</si>
  <si>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</si>
  <si>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</si>
  <si>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</si>
  <si>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</si>
  <si>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</si>
  <si>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</si>
  <si>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</si>
  <si>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</si>
  <si>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</si>
  <si>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</si>
  <si>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</si>
  <si>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</si>
  <si>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</si>
  <si>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</si>
  <si>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</si>
  <si>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</si>
  <si>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</si>
  <si>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</si>
  <si>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</si>
  <si>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</si>
  <si>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</si>
  <si>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</si>
  <si>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</si>
  <si>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</si>
  <si>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</si>
  <si>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</si>
  <si>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</si>
  <si>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</si>
  <si>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</si>
  <si>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</si>
  <si>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</si>
  <si>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</si>
  <si>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</si>
  <si>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</si>
  <si>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</si>
  <si>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</si>
  <si>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</si>
  <si>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</si>
  <si>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</si>
  <si>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</si>
  <si>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</si>
  <si>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</si>
  <si>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</si>
  <si>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</si>
  <si>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</si>
  <si>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</si>
  <si>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</si>
  <si>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</si>
  <si>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</si>
  <si>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</si>
  <si>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</si>
  <si>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</si>
  <si>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</si>
  <si>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</si>
  <si>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</si>
  <si>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</si>
  <si>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</si>
  <si>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</si>
  <si>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</si>
  <si>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</si>
  <si>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</si>
  <si>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</si>
  <si>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</si>
  <si>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</si>
  <si>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</si>
  <si>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</si>
  <si>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</si>
  <si>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</si>
  <si>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</si>
  <si>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</si>
  <si>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</si>
  <si>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</si>
  <si>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</si>
  <si>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</si>
  <si>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</si>
  <si>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</si>
  <si>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</si>
  <si>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</si>
  <si>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</si>
  <si>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</si>
  <si>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</si>
  <si>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</si>
  <si>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</si>
  <si>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</si>
  <si>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</si>
  <si>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</si>
  <si>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</si>
  <si>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</si>
  <si>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</si>
  <si>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</si>
  <si>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</si>
  <si>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</si>
  <si>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</si>
  <si>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</si>
  <si>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</si>
  <si>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</si>
  <si>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</si>
  <si>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</si>
  <si>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</si>
  <si>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</si>
  <si>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</si>
  <si>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</si>
  <si>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</si>
  <si>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</si>
  <si>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</si>
  <si>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</si>
  <si>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</si>
  <si>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</si>
  <si>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</si>
  <si>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</si>
  <si>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</si>
  <si>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</si>
  <si>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</si>
  <si>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</si>
  <si>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</si>
  <si>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</si>
  <si>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</si>
  <si>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</si>
  <si>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</si>
  <si>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</si>
  <si>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</si>
  <si>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</si>
  <si>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</si>
  <si>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</si>
  <si>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</si>
  <si>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</si>
  <si>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</si>
  <si>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</si>
  <si>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</si>
  <si>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</si>
  <si>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</si>
  <si>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</si>
  <si>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</si>
  <si>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</si>
  <si>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</si>
  <si>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</si>
  <si>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</si>
  <si>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</si>
  <si>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</si>
  <si>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</si>
  <si>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</si>
  <si>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</si>
  <si>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</si>
  <si>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</si>
  <si>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</si>
  <si>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</si>
  <si>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</si>
  <si>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</si>
  <si>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</si>
  <si>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</si>
  <si>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</si>
  <si>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</si>
  <si>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</si>
  <si>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</si>
  <si>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</si>
  <si>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</si>
  <si>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</si>
  <si>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</si>
  <si>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</si>
  <si>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</si>
  <si>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</si>
  <si>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</si>
  <si>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</si>
  <si>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</si>
  <si>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</si>
  <si>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</si>
  <si>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</si>
  <si>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</si>
  <si>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</si>
  <si>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</si>
  <si>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</si>
  <si>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</si>
  <si>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</si>
  <si>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</si>
  <si>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</si>
  <si>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</si>
  <si>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</si>
  <si>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</si>
  <si>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</si>
  <si>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</si>
  <si>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</si>
  <si>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</si>
  <si>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</si>
  <si>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</si>
  <si>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</si>
  <si>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</si>
  <si>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</si>
  <si>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</si>
  <si>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</si>
  <si>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</si>
  <si>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</si>
  <si>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</si>
  <si>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</si>
  <si>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</si>
  <si>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</si>
  <si>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</si>
  <si>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</si>
  <si>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</si>
  <si>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</si>
  <si>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</si>
  <si>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</si>
  <si>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</si>
  <si>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</si>
  <si>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</si>
  <si>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</si>
  <si>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</si>
  <si>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</si>
  <si>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</si>
  <si>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</si>
  <si>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</si>
  <si>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</si>
  <si>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</si>
  <si>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</si>
  <si>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</si>
  <si>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</si>
  <si>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</si>
  <si>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</si>
  <si>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</si>
  <si>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</si>
  <si>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</si>
  <si>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</si>
  <si>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</si>
  <si>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</si>
  <si>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</si>
  <si>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</si>
  <si>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</si>
  <si>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</si>
  <si>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</si>
  <si>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</si>
  <si>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</si>
  <si>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</si>
  <si>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</si>
  <si>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</si>
  <si>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</si>
  <si>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</si>
  <si>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</si>
  <si>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</si>
  <si>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</si>
  <si>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</si>
  <si>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</si>
  <si>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</si>
  <si>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</si>
  <si>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</si>
  <si>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</si>
  <si>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</si>
  <si>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</si>
  <si>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</si>
  <si>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</si>
  <si>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</si>
  <si>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</si>
  <si>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</si>
  <si>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</si>
  <si>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</si>
  <si>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</si>
  <si>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</si>
  <si>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</si>
  <si>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</si>
  <si>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</si>
  <si>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</si>
  <si>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</si>
  <si>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</si>
  <si>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</si>
  <si>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</si>
  <si>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</si>
  <si>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</si>
  <si>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</si>
  <si>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</si>
  <si>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</si>
  <si>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</si>
  <si>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</si>
  <si>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</si>
  <si>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</si>
  <si>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</si>
  <si>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</si>
  <si>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</si>
  <si>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</si>
  <si>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</si>
  <si>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</si>
  <si>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</si>
  <si>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</si>
  <si>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</si>
  <si>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</si>
  <si>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</si>
  <si>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</si>
  <si>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</si>
  <si>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</si>
  <si>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</si>
  <si>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</si>
  <si>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</si>
  <si>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</si>
  <si>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</si>
  <si>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</si>
  <si>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</si>
  <si>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</si>
  <si>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</si>
  <si>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</si>
  <si>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</si>
  <si>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</si>
  <si>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</si>
  <si>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</si>
  <si>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</si>
  <si>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</si>
  <si>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</si>
  <si>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</si>
  <si>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</si>
  <si>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</si>
  <si>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</si>
  <si>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</si>
  <si>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</si>
  <si>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</si>
  <si>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</si>
  <si>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</si>
  <si>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</si>
  <si>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</si>
  <si>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</si>
  <si>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</si>
  <si>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</si>
  <si>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</si>
  <si>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</si>
  <si>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</si>
  <si>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</si>
  <si>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</si>
  <si>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</si>
  <si>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</si>
  <si>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</si>
  <si>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</si>
  <si>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</si>
  <si>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</si>
  <si>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</si>
  <si>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</si>
  <si>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</si>
  <si>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</si>
  <si>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</si>
  <si>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</si>
  <si>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</si>
  <si>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</si>
  <si>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</si>
  <si>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</si>
  <si>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</si>
  <si>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</si>
  <si>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</si>
  <si>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</si>
  <si>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</si>
  <si>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</si>
  <si>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</si>
  <si>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</si>
  <si>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</si>
  <si>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</si>
  <si>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</si>
  <si>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</si>
  <si>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</si>
  <si>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</si>
  <si>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</si>
  <si>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</si>
  <si>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</si>
  <si>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</si>
  <si>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</si>
  <si>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</si>
  <si>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</si>
  <si>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</si>
  <si>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</si>
  <si>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</si>
  <si>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</si>
  <si>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</si>
  <si>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</si>
  <si>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</si>
  <si>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</si>
  <si>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</si>
  <si>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</si>
  <si>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</si>
  <si>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</si>
  <si>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</si>
  <si>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</si>
  <si>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</si>
  <si>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</si>
  <si>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</si>
  <si>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</si>
  <si>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</si>
  <si>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</si>
  <si>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</si>
  <si>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</si>
  <si>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</si>
  <si>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</si>
  <si>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</si>
  <si>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</si>
  <si>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</si>
  <si>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</si>
  <si>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</si>
  <si>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</si>
  <si>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</si>
  <si>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</si>
  <si>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</si>
  <si>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</si>
  <si>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</si>
  <si>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</si>
  <si>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</si>
  <si>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</si>
  <si>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</si>
  <si>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</si>
  <si>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</si>
  <si>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</si>
  <si>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</si>
  <si>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</si>
  <si>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</si>
  <si>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</si>
  <si>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</si>
  <si>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</si>
  <si>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</si>
  <si>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</si>
  <si>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</si>
  <si>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</si>
  <si>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</si>
  <si>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</si>
  <si>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</si>
  <si>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</si>
  <si>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</si>
  <si>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</si>
  <si>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</si>
  <si>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</si>
  <si>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</si>
  <si>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</si>
  <si>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</si>
  <si>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</si>
  <si>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</si>
  <si>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</si>
  <si>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</si>
  <si>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</si>
  <si>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</si>
  <si>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</si>
  <si>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</si>
  <si>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</si>
  <si>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</si>
  <si>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</si>
  <si>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</si>
  <si>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</si>
  <si>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</si>
  <si>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</si>
  <si>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</si>
  <si>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</si>
  <si>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</si>
  <si>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</si>
  <si>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</si>
  <si>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</si>
  <si>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</si>
  <si>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</si>
  <si>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</si>
  <si>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</si>
  <si>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</si>
  <si>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</si>
  <si>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</si>
  <si>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</si>
  <si>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</si>
  <si>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</si>
  <si>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</si>
  <si>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</si>
  <si>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</si>
  <si>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</si>
  <si>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</si>
  <si>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</si>
  <si>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</si>
  <si>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</si>
  <si>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</si>
  <si>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</si>
  <si>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</si>
  <si>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</si>
  <si>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</si>
  <si>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</si>
  <si>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</si>
  <si>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</si>
  <si>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</si>
  <si>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</si>
  <si>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</si>
  <si>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</si>
  <si>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</si>
  <si>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</si>
  <si>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</si>
  <si>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</si>
  <si>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</si>
  <si>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</si>
  <si>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</si>
  <si>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</si>
  <si>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</si>
  <si>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</si>
  <si>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</si>
  <si>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</si>
  <si>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</si>
  <si>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</si>
  <si>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</si>
  <si>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</si>
  <si>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</si>
  <si>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</si>
  <si>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</si>
  <si>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</si>
  <si>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</si>
  <si>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</si>
  <si>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</si>
  <si>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</si>
  <si>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</si>
  <si>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</si>
  <si>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</si>
  <si>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</si>
  <si>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</si>
  <si>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</si>
  <si>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</si>
  <si>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</si>
  <si>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</si>
  <si>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</si>
  <si>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</si>
  <si>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</si>
  <si>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</si>
  <si>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</si>
  <si>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</si>
  <si>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</si>
  <si>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</si>
  <si>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</si>
  <si>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</si>
  <si>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</si>
  <si>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</si>
  <si>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</si>
  <si>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</si>
  <si>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</si>
  <si>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</si>
  <si>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</si>
  <si>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</si>
  <si>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</si>
  <si>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</si>
  <si>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</si>
  <si>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</si>
  <si>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</si>
  <si>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</si>
  <si>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</si>
  <si>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</si>
  <si>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</si>
  <si>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</si>
  <si>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</si>
  <si>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</si>
  <si>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</si>
  <si>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</si>
  <si>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</si>
  <si>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</si>
  <si>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</si>
  <si>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</si>
  <si>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</si>
  <si>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</si>
  <si>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</si>
  <si>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</si>
  <si>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</si>
  <si>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</si>
  <si>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</si>
  <si>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</si>
  <si>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</si>
  <si>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</si>
  <si>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</si>
  <si>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</si>
  <si>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</si>
  <si>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</si>
  <si>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</si>
  <si>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</si>
  <si>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</si>
  <si>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</si>
  <si>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</si>
  <si>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</si>
  <si>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</si>
  <si>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</si>
  <si>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</si>
  <si>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</si>
  <si>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</si>
  <si>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</si>
  <si>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</si>
  <si>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</si>
  <si>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</si>
  <si>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</si>
  <si>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</si>
  <si>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</si>
  <si>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</si>
  <si>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</si>
  <si>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</si>
  <si>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</si>
  <si>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</si>
  <si>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</si>
  <si>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</si>
  <si>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</si>
  <si>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</si>
  <si>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</si>
  <si>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</si>
  <si>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</si>
  <si>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</si>
  <si>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</si>
  <si>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</si>
  <si>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</si>
  <si>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</si>
  <si>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</si>
  <si>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</si>
  <si>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</si>
  <si>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</si>
  <si>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</si>
  <si>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</si>
  <si>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</si>
  <si>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</si>
  <si>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</si>
  <si>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</si>
  <si>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</si>
  <si>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</si>
  <si>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</si>
  <si>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</si>
  <si>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</si>
  <si>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</si>
  <si>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</si>
  <si>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</si>
  <si>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</si>
  <si>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</si>
  <si>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</si>
  <si>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</si>
  <si>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</si>
  <si>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</si>
  <si>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</si>
  <si>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</si>
  <si>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</si>
  <si>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</si>
  <si>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</si>
  <si>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</si>
  <si>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</si>
  <si>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</si>
  <si>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</si>
  <si>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</si>
  <si>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</si>
  <si>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</si>
  <si>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</si>
  <si>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</si>
  <si>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</si>
  <si>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</si>
  <si>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</si>
  <si>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</si>
  <si>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</si>
  <si>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</si>
  <si>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</si>
  <si>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</si>
  <si>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</si>
  <si>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</si>
  <si>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</si>
  <si>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</si>
  <si>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</si>
  <si>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</si>
  <si>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</si>
  <si>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</si>
  <si>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</si>
  <si>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</si>
  <si>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</si>
  <si>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</si>
  <si>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</si>
  <si>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</si>
  <si>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</si>
  <si>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</si>
  <si>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</si>
  <si>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</si>
  <si>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</si>
  <si>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</si>
  <si>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</si>
  <si>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</si>
  <si>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</si>
  <si>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</si>
  <si>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</si>
  <si>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</si>
  <si>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</si>
  <si>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</si>
  <si>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</si>
  <si>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</si>
  <si>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</si>
  <si>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</si>
  <si>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</si>
  <si>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</si>
  <si>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</si>
  <si>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</si>
  <si>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</si>
  <si>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</si>
  <si>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</si>
  <si>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</si>
  <si>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</si>
  <si>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</si>
  <si>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</si>
  <si>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</si>
  <si>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</si>
  <si>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</si>
  <si>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</si>
  <si>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</si>
  <si>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</si>
  <si>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</si>
  <si>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</si>
  <si>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</si>
  <si>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</si>
  <si>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</si>
  <si>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</si>
  <si>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</si>
  <si>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</si>
  <si>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</si>
  <si>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</si>
  <si>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</si>
  <si>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</si>
  <si>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</si>
  <si>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</si>
  <si>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</si>
  <si>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</si>
  <si>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</si>
  <si>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</si>
  <si>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</si>
  <si>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</si>
  <si>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</si>
  <si>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</si>
  <si>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</si>
  <si>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</si>
  <si>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</si>
  <si>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</si>
  <si>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</si>
  <si>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</si>
  <si>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</si>
  <si>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</si>
  <si>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</si>
  <si>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</si>
  <si>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</si>
  <si>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</si>
  <si>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</si>
  <si>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</si>
  <si>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</si>
  <si>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</si>
  <si>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</si>
  <si>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</si>
  <si>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</si>
  <si>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</si>
  <si>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</si>
  <si>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</si>
  <si>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</si>
  <si>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</si>
  <si>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</si>
  <si>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</si>
  <si>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</si>
  <si>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</si>
  <si>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</si>
  <si>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</si>
  <si>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</si>
  <si>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</si>
  <si>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</si>
  <si>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</si>
  <si>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</si>
  <si>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</si>
  <si>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</si>
  <si>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</si>
  <si>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</si>
  <si>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</si>
  <si>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</si>
  <si>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</si>
  <si>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</si>
  <si>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</si>
  <si>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</si>
  <si>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</si>
  <si>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</si>
  <si>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</si>
  <si>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</si>
  <si>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</si>
  <si>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</si>
  <si>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</si>
  <si>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</si>
  <si>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</si>
  <si>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</si>
  <si>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</si>
  <si>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</si>
  <si>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</si>
  <si>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</si>
  <si>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</si>
  <si>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</si>
  <si>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</si>
  <si>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</si>
  <si>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</si>
  <si>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</si>
  <si>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</si>
  <si>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</si>
  <si>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</si>
  <si>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</si>
  <si>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</si>
  <si>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</si>
  <si>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</si>
  <si>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</si>
  <si>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</si>
  <si>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</si>
  <si>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</si>
  <si>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</si>
  <si>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</si>
  <si>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</si>
  <si>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</si>
  <si>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</si>
  <si>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</si>
  <si>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</si>
  <si>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</si>
  <si>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</si>
  <si>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</si>
  <si>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</si>
  <si>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</si>
  <si>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</si>
  <si>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</si>
  <si>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</si>
  <si>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</si>
  <si>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</si>
  <si>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</si>
  <si>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</si>
  <si>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</si>
  <si>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</si>
  <si>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</si>
  <si>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</si>
  <si>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</si>
  <si>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</si>
  <si>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</si>
  <si>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</si>
  <si>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</si>
  <si>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</si>
  <si>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</si>
  <si>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</si>
  <si>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</si>
  <si>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</si>
  <si>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</si>
  <si>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</si>
  <si>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</si>
  <si>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</si>
  <si>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</si>
  <si>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</si>
  <si>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</si>
  <si>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</si>
  <si>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</si>
  <si>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</si>
  <si>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</si>
  <si>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</si>
  <si>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</si>
  <si>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</si>
  <si>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</si>
  <si>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</si>
  <si>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</si>
  <si>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</si>
  <si>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</si>
  <si>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</si>
  <si>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</si>
  <si>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</si>
  <si>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</si>
  <si>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</si>
  <si>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</si>
  <si>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</si>
  <si>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</si>
  <si>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</si>
  <si>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</si>
  <si>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</si>
  <si>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</si>
  <si>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</si>
  <si>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</si>
  <si>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</si>
  <si>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</si>
  <si>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</si>
  <si>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</si>
  <si>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</si>
  <si>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</si>
  <si>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</si>
  <si>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</si>
  <si>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</si>
  <si>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</si>
  <si>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</si>
  <si>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</si>
  <si>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</si>
  <si>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</si>
  <si>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</si>
  <si>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</si>
  <si>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</si>
  <si>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</si>
  <si>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</si>
  <si>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</si>
  <si>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</si>
  <si>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</si>
  <si>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</si>
  <si>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</si>
  <si>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</si>
  <si>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</si>
  <si>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</si>
  <si>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</si>
  <si>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</si>
  <si>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</si>
  <si>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</si>
  <si>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</si>
  <si>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</si>
  <si>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</si>
  <si>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</si>
  <si>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</si>
  <si>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</si>
  <si>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</si>
  <si>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</si>
  <si>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</si>
  <si>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</si>
  <si>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</si>
  <si>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</si>
  <si>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</si>
  <si>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</si>
  <si>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</si>
  <si>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</si>
  <si>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</si>
  <si>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</si>
  <si>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</si>
  <si>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</si>
  <si>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</si>
  <si>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</si>
  <si>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</si>
  <si>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</si>
  <si>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</si>
  <si>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</si>
  <si>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</si>
  <si>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</si>
  <si>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</si>
  <si>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</si>
  <si>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</si>
  <si>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</si>
  <si>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</si>
  <si>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</si>
  <si>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</si>
  <si>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</si>
  <si>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</si>
  <si>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</si>
  <si>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</si>
  <si>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</si>
  <si>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</si>
  <si>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</si>
  <si>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</si>
  <si>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</si>
  <si>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</si>
  <si>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</si>
  <si>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</si>
  <si>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</si>
  <si>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</si>
  <si>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</si>
  <si>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</si>
  <si>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</si>
  <si>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</si>
  <si>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</si>
  <si>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</si>
  <si>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</si>
  <si>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</si>
  <si>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</si>
  <si>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</si>
  <si>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</si>
  <si>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</si>
  <si>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</si>
  <si>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</si>
  <si>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</si>
  <si>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</si>
  <si>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</si>
  <si>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</si>
  <si>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</si>
  <si>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</si>
  <si>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</si>
  <si>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</si>
  <si>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</si>
  <si>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</si>
  <si>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</si>
  <si>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</si>
  <si>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</si>
  <si>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</si>
  <si>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</si>
  <si>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</si>
  <si>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</si>
  <si>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</si>
  <si>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</si>
  <si>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</si>
  <si>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</si>
  <si>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</si>
  <si>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</si>
  <si>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</si>
  <si>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</si>
  <si>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</si>
  <si>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</si>
  <si>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</si>
  <si>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</si>
  <si>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</si>
  <si>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</si>
  <si>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</si>
  <si>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</si>
  <si>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</si>
  <si>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</si>
  <si>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</si>
  <si>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</si>
  <si>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</si>
  <si>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</si>
  <si>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</si>
  <si>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</si>
  <si>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</si>
  <si>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</si>
  <si>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</si>
  <si>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</si>
  <si>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</si>
  <si>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</si>
  <si>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</si>
  <si>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</si>
  <si>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</si>
  <si>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</si>
  <si>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</si>
  <si>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</si>
  <si>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</si>
  <si>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</si>
  <si>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</si>
  <si>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</si>
  <si>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</si>
  <si>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</si>
  <si>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</si>
  <si>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</si>
  <si>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</si>
  <si>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</si>
  <si>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</si>
  <si>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</si>
  <si>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</si>
  <si>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</si>
  <si>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</si>
  <si>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</si>
  <si>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</si>
  <si>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</si>
  <si>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</si>
  <si>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</si>
  <si>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</si>
  <si>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</si>
  <si>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</si>
  <si>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</si>
  <si>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</si>
  <si>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</si>
  <si>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</si>
  <si>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</si>
  <si>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</si>
  <si>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</si>
  <si>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</si>
  <si>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</si>
  <si>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</si>
  <si>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</si>
  <si>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</si>
  <si>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</si>
  <si>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</si>
  <si>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</si>
  <si>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</si>
  <si>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</si>
  <si>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</si>
  <si>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</si>
  <si>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</si>
  <si>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</si>
  <si>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</si>
  <si>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</si>
  <si>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</si>
  <si>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</si>
  <si>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</si>
  <si>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</si>
  <si>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</si>
  <si>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</si>
  <si>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</si>
  <si>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</si>
  <si>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</si>
  <si>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</si>
  <si>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</si>
  <si>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</si>
  <si>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</si>
  <si>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</si>
  <si>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</si>
  <si>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</si>
  <si>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</si>
  <si>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</si>
  <si>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</si>
  <si>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</si>
  <si>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</si>
  <si>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</si>
  <si>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</si>
  <si>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</si>
  <si>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</si>
  <si>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</si>
  <si>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</si>
  <si>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</si>
  <si>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</si>
  <si>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</si>
  <si>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</si>
  <si>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</si>
  <si>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</si>
  <si>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</si>
  <si>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</si>
  <si>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</si>
  <si>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</si>
  <si>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</si>
  <si>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</si>
  <si>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</si>
  <si>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</si>
  <si>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</si>
  <si>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</si>
  <si>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</si>
  <si>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</si>
  <si>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</si>
  <si>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</si>
  <si>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</si>
  <si>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</si>
  <si>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</si>
  <si>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</si>
  <si>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</si>
  <si>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</si>
  <si>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</si>
  <si>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</si>
  <si>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</si>
  <si>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</si>
  <si>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</si>
  <si>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</si>
  <si>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</si>
  <si>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</si>
  <si>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</si>
  <si>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</si>
  <si>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</si>
  <si>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</si>
  <si>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</si>
  <si>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</si>
  <si>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</si>
  <si>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</si>
  <si>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</si>
  <si>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</si>
  <si>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</si>
  <si>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</si>
  <si>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</si>
  <si>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</si>
  <si>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</si>
  <si>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</si>
  <si>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</si>
  <si>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</si>
  <si>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</si>
  <si>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</si>
  <si>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</si>
  <si>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</si>
  <si>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</si>
  <si>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</si>
  <si>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</si>
  <si>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</si>
  <si>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</si>
  <si>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</si>
  <si>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</si>
  <si>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</si>
  <si>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</si>
  <si>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</si>
  <si>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</si>
  <si>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</si>
  <si>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</si>
  <si>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</si>
  <si>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</si>
  <si>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</si>
  <si>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</si>
  <si>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</si>
  <si>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</si>
  <si>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</si>
  <si>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</si>
  <si>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</si>
  <si>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</si>
  <si>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</si>
  <si>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</si>
  <si>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</si>
  <si>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</si>
  <si>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</si>
  <si>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</si>
  <si>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</si>
  <si>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</si>
  <si>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</si>
  <si>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</si>
  <si>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</si>
  <si>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</si>
  <si>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</si>
  <si>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</si>
  <si>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</si>
  <si>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</si>
  <si>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</si>
  <si>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</si>
  <si>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</si>
  <si>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</si>
  <si>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</si>
  <si>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</si>
  <si>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</si>
  <si>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</si>
  <si>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</si>
  <si>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</si>
  <si>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</si>
  <si>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</si>
  <si>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</si>
  <si>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</si>
  <si>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</si>
  <si>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</si>
  <si>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</si>
  <si>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</si>
  <si>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</si>
  <si>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</si>
  <si>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</si>
  <si>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</si>
  <si>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</si>
  <si>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</si>
  <si>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</si>
  <si>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</si>
  <si>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</si>
  <si>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</si>
  <si>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</si>
  <si>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</si>
  <si>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</si>
  <si>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</si>
  <si>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</si>
  <si>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</si>
  <si>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</si>
  <si>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</si>
  <si>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</si>
  <si>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</si>
  <si>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</si>
  <si>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</si>
  <si>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</si>
  <si>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</si>
  <si>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</si>
  <si>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</si>
  <si>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</si>
  <si>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</si>
  <si>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</si>
  <si>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</si>
  <si>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</si>
  <si>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</si>
  <si>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</si>
  <si>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</si>
  <si>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</si>
  <si>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</si>
  <si>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</si>
  <si>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</si>
  <si>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</si>
  <si>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</si>
  <si>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</si>
  <si>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</si>
  <si>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</si>
  <si>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</si>
  <si>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</si>
  <si>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</si>
  <si>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</si>
  <si>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</si>
  <si>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</si>
  <si>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</si>
  <si>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</si>
  <si>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</si>
  <si>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</si>
  <si>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</si>
  <si>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</si>
  <si>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</si>
  <si>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</si>
  <si>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</si>
  <si>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</si>
  <si>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</si>
  <si>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</si>
  <si>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</si>
  <si>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</si>
  <si>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</si>
  <si>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</si>
  <si>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</si>
  <si>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</si>
  <si>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</si>
  <si>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</si>
  <si>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</si>
  <si>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</si>
  <si>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</si>
  <si>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</si>
  <si>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</si>
  <si>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</si>
  <si>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</si>
  <si>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</si>
  <si>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</si>
  <si>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</si>
  <si>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</si>
  <si>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</si>
  <si>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</si>
  <si>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</si>
  <si>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</si>
  <si>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</si>
  <si>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</si>
  <si>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</si>
  <si>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</si>
  <si>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</si>
  <si>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</si>
  <si>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</si>
  <si>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</si>
  <si>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</si>
  <si>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</si>
  <si>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</si>
  <si>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</si>
  <si>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</si>
  <si>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</si>
  <si>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</si>
  <si>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</si>
  <si>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</si>
  <si>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</si>
  <si>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</si>
  <si>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</si>
  <si>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</si>
  <si>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</si>
  <si>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</si>
  <si>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</si>
  <si>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</si>
  <si>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</si>
  <si>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</si>
  <si>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</si>
  <si>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</si>
  <si>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</si>
  <si>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</si>
  <si>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</si>
  <si>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</si>
  <si>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</si>
  <si>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</si>
  <si>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</si>
  <si>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</si>
  <si>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</si>
  <si>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</si>
  <si>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</si>
  <si>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</si>
  <si>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</si>
  <si>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</si>
  <si>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</si>
  <si>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</si>
  <si>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</si>
  <si>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</si>
  <si>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</si>
  <si>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</si>
  <si>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</si>
  <si>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</si>
  <si>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</si>
  <si>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</si>
  <si>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</si>
  <si>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</si>
  <si>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</si>
  <si>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</si>
  <si>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</si>
  <si>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</si>
  <si>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</si>
  <si>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</si>
  <si>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</si>
  <si>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</si>
  <si>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</si>
  <si>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</si>
  <si>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</si>
  <si>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</si>
  <si>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</si>
  <si>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</si>
  <si>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</si>
  <si>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</si>
  <si>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</si>
  <si>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</si>
  <si>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</si>
  <si>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</si>
  <si>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</si>
  <si>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</si>
  <si>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</si>
  <si>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</si>
  <si>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</si>
  <si>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</si>
  <si>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</si>
  <si>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</si>
  <si>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</si>
  <si>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</si>
  <si>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</si>
  <si>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</si>
  <si>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</si>
  <si>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</si>
  <si>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</si>
  <si>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</si>
  <si>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</si>
  <si>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</si>
  <si>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</si>
  <si>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</si>
  <si>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</si>
  <si>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</si>
  <si>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</si>
  <si>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</si>
  <si>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</si>
  <si>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</si>
  <si>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</si>
  <si>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</si>
  <si>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</si>
  <si>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</si>
  <si>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</si>
  <si>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</si>
  <si>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</si>
  <si>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</si>
  <si>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</si>
  <si>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</si>
  <si>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</si>
  <si>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</si>
  <si>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</si>
  <si>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</si>
  <si>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</si>
  <si>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</si>
  <si>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</si>
  <si>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</si>
  <si>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</si>
  <si>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</si>
  <si>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</si>
  <si>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</si>
  <si>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</si>
  <si>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</si>
  <si>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</si>
  <si>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</si>
  <si>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</si>
  <si>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</si>
  <si>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</si>
  <si>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</si>
  <si>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</si>
  <si>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</si>
  <si>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</si>
  <si>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</si>
  <si>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</si>
  <si>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</si>
  <si>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</si>
  <si>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</si>
  <si>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</si>
  <si>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</si>
  <si>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</si>
  <si>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</si>
  <si>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</si>
  <si>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</si>
  <si>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</si>
  <si>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</si>
  <si>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</si>
  <si>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</si>
  <si>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</si>
  <si>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</si>
  <si>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</si>
  <si>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</si>
  <si>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</si>
  <si>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</si>
  <si>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</si>
  <si>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</si>
  <si>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</si>
  <si>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</si>
  <si>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</si>
  <si>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</si>
  <si>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</si>
  <si>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</si>
  <si>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</si>
  <si>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</si>
  <si>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</si>
  <si>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</si>
  <si>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</si>
  <si>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</si>
  <si>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</si>
  <si>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</si>
  <si>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</si>
  <si>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</si>
  <si>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</si>
  <si>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</si>
  <si>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</si>
  <si>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</si>
  <si>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</si>
  <si>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</si>
  <si>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</si>
  <si>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</si>
  <si>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</si>
  <si>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</si>
  <si>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</si>
  <si>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</si>
  <si>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</si>
  <si>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</si>
  <si>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</si>
  <si>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</si>
  <si>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</si>
  <si>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</si>
  <si>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</si>
  <si>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</si>
  <si>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</si>
  <si>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</si>
  <si>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</si>
  <si>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</si>
  <si>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</si>
  <si>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</si>
  <si>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</si>
  <si>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</si>
  <si>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</si>
  <si>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</si>
  <si>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</si>
  <si>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</si>
  <si>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</si>
  <si>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</si>
  <si>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</si>
  <si>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</si>
  <si>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</si>
  <si>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</si>
  <si>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</si>
  <si>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</si>
  <si>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</si>
  <si>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</si>
  <si>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</si>
  <si>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</si>
  <si>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</si>
  <si>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</si>
  <si>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</si>
  <si>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</si>
  <si>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</si>
  <si>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</si>
  <si>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</si>
  <si>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</si>
  <si>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</si>
  <si>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</si>
  <si>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</si>
  <si>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</si>
  <si>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</si>
  <si>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</si>
  <si>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</si>
  <si>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</si>
  <si>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</si>
  <si>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</si>
  <si>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</si>
  <si>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</si>
  <si>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</si>
  <si>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</si>
  <si>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</si>
  <si>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</si>
  <si>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</si>
  <si>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</si>
  <si>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</si>
  <si>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</si>
  <si>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</si>
  <si>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</si>
  <si>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</si>
  <si>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</si>
  <si>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</si>
  <si>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</si>
  <si>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</si>
  <si>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</si>
  <si>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</si>
  <si>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</si>
  <si>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</si>
  <si>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</si>
  <si>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</si>
  <si>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</si>
  <si>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</si>
  <si>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</si>
  <si>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</si>
  <si>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</si>
  <si>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</si>
  <si>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</si>
  <si>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</si>
  <si>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</si>
  <si>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</si>
  <si>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</si>
  <si>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</si>
  <si>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</si>
  <si>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</si>
  <si>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</si>
  <si>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</si>
  <si>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</si>
  <si>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</si>
  <si>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</si>
  <si>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</si>
  <si>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</si>
  <si>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</si>
  <si>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</si>
  <si>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</si>
  <si>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</si>
  <si>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</si>
  <si>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</si>
  <si>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</si>
  <si>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</si>
  <si>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</si>
  <si>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</si>
  <si>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</si>
  <si>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</si>
  <si>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</si>
  <si>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</si>
  <si>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</si>
  <si>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</si>
  <si>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</si>
  <si>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</si>
  <si>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</si>
  <si>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</si>
  <si>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</si>
  <si>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</si>
  <si>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</si>
  <si>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</si>
  <si>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</si>
  <si>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</si>
  <si>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</si>
  <si>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</si>
  <si>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</si>
  <si>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</si>
  <si>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</si>
  <si>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</si>
  <si>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</si>
  <si>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</si>
  <si>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</si>
  <si>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</si>
  <si>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</si>
  <si>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</si>
  <si>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</si>
  <si>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</si>
  <si>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</si>
  <si>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</si>
  <si>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</si>
  <si>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</si>
  <si>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</si>
  <si>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</si>
  <si>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</si>
  <si>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</si>
  <si>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</si>
  <si>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</si>
  <si>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</si>
  <si>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</si>
  <si>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</si>
  <si>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</si>
  <si>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</si>
  <si>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</si>
  <si>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</si>
  <si>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</si>
  <si>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</si>
  <si>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</si>
  <si>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</si>
  <si>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</si>
  <si>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</si>
  <si>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</si>
  <si>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</si>
  <si>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</si>
  <si>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</si>
  <si>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</si>
  <si>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</si>
  <si>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</si>
  <si>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</si>
  <si>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</si>
  <si>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</si>
  <si>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</si>
  <si>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</si>
  <si>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</si>
  <si>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</si>
  <si>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</si>
  <si>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</si>
  <si>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</si>
  <si>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</si>
  <si>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</si>
  <si>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</si>
  <si>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</si>
  <si>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</si>
  <si>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</si>
  <si>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</si>
  <si>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</si>
  <si>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</si>
  <si>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</si>
  <si>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</si>
  <si>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</si>
  <si>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</si>
  <si>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</si>
  <si>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</si>
  <si>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</si>
  <si>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</si>
  <si>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</si>
  <si>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</si>
  <si>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</si>
  <si>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</si>
  <si>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</si>
  <si>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</si>
  <si>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</si>
  <si>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</si>
  <si>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</si>
  <si>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</si>
  <si>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</si>
  <si>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</si>
  <si>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</si>
  <si>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</si>
  <si>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</si>
  <si>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</si>
  <si>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</si>
  <si>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</si>
  <si>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</si>
  <si>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</si>
  <si>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</si>
  <si>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</si>
  <si>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</si>
  <si>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</si>
  <si>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</si>
  <si>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</si>
  <si>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</si>
  <si>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</si>
  <si>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</si>
  <si>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</si>
  <si>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</si>
  <si>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</si>
  <si>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</si>
  <si>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</si>
  <si>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</si>
  <si>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</si>
  <si>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</si>
  <si>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</si>
  <si>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</si>
  <si>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</si>
  <si>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</si>
  <si>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</si>
  <si>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</si>
  <si>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</si>
  <si>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</si>
  <si>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</si>
  <si>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</si>
  <si>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</si>
  <si>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</si>
  <si>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</si>
  <si>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</si>
  <si>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</si>
  <si>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</si>
  <si>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</si>
  <si>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</si>
  <si>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</si>
  <si>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</si>
  <si>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</si>
  <si>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</si>
  <si>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</si>
  <si>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</si>
  <si>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</si>
  <si>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</si>
  <si>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</si>
  <si>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</si>
  <si>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</si>
  <si>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</si>
  <si>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</si>
  <si>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</si>
  <si>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</si>
  <si>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</si>
  <si>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</si>
  <si>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</si>
  <si>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</si>
  <si>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</si>
  <si>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</si>
  <si>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</si>
  <si>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</si>
  <si>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</si>
  <si>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</si>
  <si>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</si>
  <si>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</si>
  <si>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</si>
  <si>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</si>
  <si>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</si>
  <si>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</si>
  <si>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</si>
  <si>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</si>
  <si>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</si>
  <si>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</si>
  <si>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</si>
  <si>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</si>
  <si>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</si>
  <si>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</si>
  <si>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</si>
  <si>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</si>
  <si>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</si>
  <si>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</si>
  <si>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</si>
  <si>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</si>
  <si>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</si>
  <si>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</si>
  <si>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</si>
  <si>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</si>
  <si>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</si>
  <si>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</si>
  <si>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</si>
  <si>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</si>
  <si>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</si>
  <si>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</si>
  <si>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</si>
  <si>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</si>
  <si>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</si>
  <si>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</si>
  <si>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</si>
  <si>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</si>
  <si>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</si>
  <si>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</si>
  <si>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</si>
  <si>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</si>
  <si>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</si>
  <si>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</si>
  <si>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</si>
  <si>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</si>
  <si>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</si>
  <si>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</si>
  <si>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</si>
  <si>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</si>
  <si>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</si>
  <si>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</si>
  <si>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</si>
  <si>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</si>
  <si>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</si>
  <si>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</si>
  <si>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</si>
  <si>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</si>
  <si>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</si>
  <si>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</si>
  <si>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</si>
  <si>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</si>
  <si>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</si>
  <si>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</si>
  <si>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</si>
  <si>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</si>
  <si>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</si>
  <si>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</si>
  <si>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</si>
  <si>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</si>
  <si>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</si>
  <si>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</si>
  <si>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</si>
  <si>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</si>
  <si>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</si>
  <si>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</si>
  <si>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</si>
  <si>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</si>
  <si>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</si>
  <si>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</si>
  <si>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</si>
  <si>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</si>
  <si>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</si>
  <si>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</si>
  <si>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</si>
  <si>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</si>
  <si>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</si>
  <si>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</si>
  <si>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</si>
  <si>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</si>
  <si>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</si>
  <si>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</si>
  <si>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</si>
  <si>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</si>
  <si>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</si>
  <si>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</si>
  <si>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</si>
  <si>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</si>
  <si>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</si>
  <si>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</si>
  <si>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</si>
  <si>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</si>
  <si>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</si>
  <si>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</si>
  <si>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</si>
  <si>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</si>
  <si>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</si>
  <si>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</si>
  <si>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</si>
  <si>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</si>
  <si>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</si>
  <si>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</si>
  <si>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</si>
  <si>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</si>
  <si>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</si>
  <si>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</si>
  <si>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</si>
  <si>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</si>
  <si>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</si>
  <si>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</si>
  <si>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</si>
  <si>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</si>
  <si>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</si>
  <si>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</si>
  <si>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</si>
  <si>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</si>
  <si>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</si>
  <si>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</si>
  <si>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</si>
  <si>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</si>
  <si>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</si>
  <si>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</si>
  <si>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</si>
  <si>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</si>
  <si>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</si>
  <si>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</si>
  <si>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</si>
  <si>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</si>
  <si>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</si>
  <si>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</si>
  <si>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</si>
  <si>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</si>
  <si>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</si>
  <si>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</si>
  <si>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</si>
  <si>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</si>
  <si>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</si>
  <si>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</si>
  <si>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</si>
  <si>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</si>
  <si>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</si>
  <si>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</si>
  <si>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</si>
  <si>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</si>
  <si>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</si>
  <si>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</si>
  <si>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</si>
  <si>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</si>
  <si>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</si>
  <si>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</si>
  <si>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</si>
  <si>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</si>
  <si>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</si>
  <si>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</si>
  <si>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</si>
  <si>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</si>
  <si>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</si>
  <si>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</si>
  <si>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</si>
  <si>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</si>
  <si>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</si>
  <si>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</si>
  <si>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</si>
  <si>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</si>
  <si>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</si>
  <si>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</si>
  <si>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</si>
  <si>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</si>
  <si>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</si>
  <si>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</si>
  <si>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</si>
  <si>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</si>
  <si>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</si>
  <si>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</si>
  <si>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</si>
  <si>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</si>
  <si>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</si>
  <si>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</si>
  <si>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</si>
  <si>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</si>
  <si>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</si>
  <si>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</si>
  <si>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</si>
  <si>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</si>
  <si>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</si>
  <si>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</si>
  <si>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</si>
  <si>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</si>
  <si>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</si>
  <si>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</si>
  <si>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</si>
  <si>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</si>
  <si>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</si>
  <si>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</si>
  <si>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</si>
  <si>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</si>
  <si>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</si>
  <si>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</si>
  <si>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</si>
  <si>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</si>
  <si>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</si>
  <si>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</si>
  <si>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</si>
  <si>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</si>
  <si>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</si>
  <si>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</si>
  <si>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</si>
  <si>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</si>
  <si>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</si>
  <si>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</si>
  <si>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</si>
  <si>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</si>
  <si>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</si>
  <si>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</si>
  <si>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</si>
  <si>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</si>
  <si>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</si>
  <si>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</si>
  <si>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</si>
  <si>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</si>
  <si>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</si>
  <si>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</si>
  <si>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</si>
  <si>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</si>
  <si>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</si>
  <si>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</si>
  <si>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</si>
  <si>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</si>
  <si>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</si>
  <si>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</si>
  <si>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</si>
  <si>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</si>
  <si>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</si>
  <si>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</si>
  <si>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</si>
  <si>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</si>
  <si>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</si>
  <si>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</si>
  <si>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</si>
  <si>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</si>
  <si>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</si>
  <si>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</si>
  <si>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</si>
  <si>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</si>
  <si>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</si>
  <si>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</si>
  <si>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</si>
  <si>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</si>
  <si>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</si>
  <si>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</si>
  <si>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</si>
  <si>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</si>
  <si>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</si>
  <si>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</si>
  <si>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</si>
  <si>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</si>
  <si>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</si>
  <si>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</si>
  <si>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</si>
  <si>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</si>
  <si>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</si>
  <si>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</si>
  <si>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</si>
  <si>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</si>
  <si>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</si>
  <si>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</si>
  <si>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</si>
  <si>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</si>
  <si>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</si>
  <si>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</si>
  <si>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</si>
  <si>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</si>
  <si>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</si>
  <si>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</si>
  <si>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</si>
  <si>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</si>
  <si>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</si>
  <si>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</si>
  <si>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</si>
  <si>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</si>
  <si>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</si>
  <si>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</si>
  <si>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</si>
  <si>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</si>
  <si>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</si>
  <si>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</si>
  <si>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</si>
  <si>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</si>
  <si>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</si>
  <si>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</si>
  <si>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</si>
  <si>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</si>
  <si>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</si>
  <si>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</si>
  <si>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</si>
  <si>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</si>
  <si>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</si>
  <si>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</si>
  <si>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</si>
  <si>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</si>
  <si>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</si>
  <si>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</si>
  <si>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</si>
  <si>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</si>
  <si>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</si>
  <si>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</si>
  <si>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</si>
  <si>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</si>
  <si>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</si>
  <si>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</si>
  <si>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</si>
  <si>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</si>
  <si>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</si>
  <si>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</si>
  <si>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</si>
  <si>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</si>
  <si>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</si>
  <si>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</si>
  <si>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</si>
  <si>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</si>
  <si>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</si>
  <si>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</si>
  <si>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</si>
  <si>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</si>
  <si>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</si>
  <si>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</si>
  <si>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</si>
  <si>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</si>
  <si>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</si>
  <si>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</si>
  <si>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</si>
  <si>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</si>
  <si>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</si>
  <si>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</si>
  <si>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</si>
  <si>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</si>
  <si>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</si>
  <si>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</si>
  <si>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</si>
  <si>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</si>
  <si>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</si>
  <si>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</si>
  <si>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</si>
  <si>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</si>
  <si>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</si>
  <si>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</si>
  <si>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</si>
  <si>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</si>
  <si>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</si>
  <si>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</si>
  <si>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</si>
  <si>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</si>
  <si>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</si>
  <si>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</si>
  <si>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</si>
  <si>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</si>
  <si>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</si>
  <si>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</si>
  <si>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</si>
  <si>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</si>
  <si>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</si>
  <si>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</si>
  <si>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</si>
  <si>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</si>
  <si>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</si>
  <si>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</si>
  <si>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</si>
  <si>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</si>
  <si>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</si>
  <si>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</si>
  <si>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</si>
  <si>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</si>
  <si>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</si>
  <si>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</si>
  <si>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</si>
  <si>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</si>
  <si>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</si>
  <si>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</si>
  <si>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</si>
  <si>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</si>
  <si>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</si>
  <si>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</si>
  <si>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</si>
  <si>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</si>
  <si>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</si>
  <si>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</si>
  <si>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</si>
  <si>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</si>
  <si>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</si>
  <si>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</si>
  <si>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</si>
  <si>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</si>
  <si>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</si>
  <si>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</si>
  <si>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</si>
  <si>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</si>
  <si>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</si>
  <si>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</si>
  <si>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</si>
  <si>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</si>
  <si>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</si>
  <si>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</si>
  <si>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</si>
  <si>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</si>
  <si>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</si>
  <si>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</si>
  <si>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</si>
  <si>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</si>
  <si>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</si>
  <si>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</si>
  <si>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</si>
  <si>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</si>
  <si>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</si>
  <si>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</si>
  <si>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</si>
  <si>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</si>
  <si>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</si>
  <si>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</si>
  <si>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</si>
  <si>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</si>
  <si>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</si>
  <si>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</si>
  <si>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</si>
  <si>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</si>
  <si>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</si>
  <si>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</si>
  <si>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</si>
  <si>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</si>
  <si>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</si>
  <si>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</si>
  <si>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</si>
  <si>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</si>
  <si>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</si>
  <si>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</si>
  <si>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</si>
  <si>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</si>
  <si>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</si>
  <si>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</si>
  <si>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</si>
  <si>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</si>
  <si>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</si>
  <si>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</si>
  <si>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</si>
  <si>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</si>
  <si>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</si>
  <si>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</si>
  <si>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</si>
  <si>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</si>
  <si>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</si>
  <si>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</si>
  <si>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</si>
  <si>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</si>
  <si>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</si>
  <si>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</si>
  <si>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</si>
  <si>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</si>
  <si>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</si>
  <si>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</si>
  <si>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</si>
  <si>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</si>
  <si>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</si>
  <si>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</si>
  <si>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</si>
  <si>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</si>
  <si>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</si>
  <si>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</si>
  <si>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</si>
  <si>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</si>
  <si>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</si>
  <si>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</si>
  <si>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</si>
  <si>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</si>
  <si>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</si>
  <si>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</si>
  <si>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</si>
  <si>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</si>
  <si>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</si>
  <si>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</si>
  <si>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</si>
  <si>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</si>
  <si>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</si>
  <si>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</si>
  <si>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</si>
  <si>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</si>
  <si>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</si>
  <si>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</si>
  <si>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</si>
  <si>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</si>
  <si>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</si>
  <si>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</si>
  <si>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</si>
  <si>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</si>
  <si>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</si>
  <si>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</si>
  <si>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</si>
  <si>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</si>
  <si>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</si>
  <si>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</si>
  <si>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</si>
  <si>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</si>
  <si>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</si>
  <si>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</si>
  <si>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</si>
  <si>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</si>
  <si>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</si>
  <si>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</si>
  <si>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</si>
  <si>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</si>
  <si>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</si>
  <si>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</si>
  <si>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</si>
  <si>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</si>
  <si>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</si>
  <si>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</si>
  <si>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</si>
  <si>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</si>
  <si>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</si>
  <si>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</si>
  <si>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</si>
  <si>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</si>
  <si>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</si>
  <si>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</si>
  <si>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</si>
  <si>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</si>
  <si>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</si>
  <si>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</si>
  <si>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</si>
  <si>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</si>
  <si>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</si>
  <si>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</si>
  <si>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</si>
  <si>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</si>
  <si>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</si>
  <si>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</si>
  <si>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</si>
  <si>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</si>
  <si>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</si>
  <si>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</si>
  <si>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</si>
  <si>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</si>
  <si>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</si>
  <si>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</si>
  <si>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</si>
  <si>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</si>
  <si>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</si>
  <si>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</si>
  <si>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</si>
  <si>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</si>
  <si>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</si>
  <si>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</si>
  <si>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</si>
  <si>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</si>
  <si>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</si>
  <si>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</si>
  <si>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</si>
  <si>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</si>
  <si>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</si>
  <si>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</si>
  <si>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</si>
  <si>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</si>
  <si>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</si>
  <si>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</si>
  <si>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</si>
  <si>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</si>
  <si>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</si>
  <si>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</si>
  <si>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</si>
  <si>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</si>
  <si>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</si>
  <si>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</si>
  <si>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</si>
  <si>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</si>
  <si>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</si>
  <si>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</si>
  <si>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</si>
  <si>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</si>
  <si>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</si>
  <si>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</si>
  <si>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</si>
  <si>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</si>
  <si>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</si>
  <si>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</si>
  <si>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</si>
  <si>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</si>
  <si>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</si>
  <si>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</si>
  <si>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</si>
  <si>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</si>
  <si>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</si>
  <si>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</si>
  <si>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</si>
  <si>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</si>
  <si>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</si>
  <si>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</si>
  <si>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</si>
  <si>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</si>
  <si>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</si>
  <si>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</si>
  <si>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</si>
  <si>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</si>
  <si>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</si>
  <si>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</si>
  <si>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</si>
  <si>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</si>
  <si>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</si>
  <si>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</si>
  <si>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</si>
  <si>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</si>
  <si>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</si>
  <si>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</si>
  <si>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</si>
  <si>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</si>
  <si>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</si>
  <si>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</si>
  <si>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</si>
  <si>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</si>
  <si>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</si>
  <si>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</si>
  <si>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</si>
  <si>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</si>
  <si>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</si>
  <si>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</si>
  <si>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</si>
  <si>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</si>
  <si>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</si>
  <si>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</si>
  <si>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</si>
  <si>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</si>
  <si>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</si>
  <si>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</si>
  <si>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</si>
  <si>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</si>
  <si>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</si>
  <si>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</si>
  <si>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</si>
  <si>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</si>
  <si>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</si>
  <si>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</si>
  <si>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</si>
  <si>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</si>
  <si>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</si>
  <si>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</si>
  <si>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</si>
  <si>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</si>
  <si>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</si>
  <si>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</si>
  <si>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</si>
  <si>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</si>
  <si>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</si>
  <si>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</si>
  <si>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</si>
  <si>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</si>
  <si>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</si>
  <si>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</si>
  <si>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</si>
  <si>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</si>
  <si>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</si>
  <si>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</si>
  <si>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</si>
  <si>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</si>
  <si>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</si>
  <si>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</si>
  <si>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</si>
  <si>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</si>
  <si>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</si>
  <si>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</si>
  <si>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</si>
  <si>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</si>
  <si>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</si>
  <si>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</si>
  <si>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</si>
  <si>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</si>
  <si>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</si>
  <si>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</si>
  <si>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</si>
  <si>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</si>
  <si>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</si>
  <si>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</si>
  <si>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</si>
  <si>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</si>
  <si>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</si>
  <si>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</si>
  <si>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</si>
  <si>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</si>
  <si>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</si>
  <si>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</si>
  <si>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</si>
  <si>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</si>
  <si>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</si>
  <si>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</si>
  <si>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</si>
  <si>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</si>
  <si>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</si>
  <si>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</si>
  <si>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</si>
  <si>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</si>
  <si>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</si>
  <si>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</si>
  <si>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</si>
  <si>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</si>
  <si>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</si>
  <si>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</si>
  <si>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</si>
  <si>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</si>
  <si>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</si>
  <si>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</si>
  <si>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</si>
  <si>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</si>
  <si>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</si>
  <si>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</si>
  <si>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</si>
  <si>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</si>
  <si>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</si>
  <si>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</si>
  <si>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</si>
  <si>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</si>
  <si>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</si>
  <si>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</si>
  <si>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</si>
  <si>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</si>
  <si>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</si>
  <si>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</si>
  <si>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</si>
  <si>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</si>
  <si>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</si>
  <si>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</si>
  <si>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</si>
  <si>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</si>
  <si>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</si>
  <si>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</si>
  <si>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</si>
  <si>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</si>
  <si>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</si>
  <si>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</si>
  <si>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</si>
  <si>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</si>
  <si>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</si>
  <si>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</si>
  <si>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</si>
  <si>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</si>
  <si>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</si>
  <si>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</si>
  <si>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</si>
  <si>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</si>
  <si>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</si>
  <si>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</si>
  <si>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</si>
  <si>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</si>
  <si>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</si>
  <si>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</si>
  <si>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</si>
  <si>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</si>
  <si>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</si>
  <si>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</si>
  <si>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</si>
  <si>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</si>
  <si>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</si>
  <si>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</si>
  <si>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</si>
  <si>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</si>
  <si>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</si>
  <si>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</si>
  <si>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</si>
  <si>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</si>
  <si>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</si>
  <si>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</si>
  <si>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</si>
  <si>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</si>
  <si>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</si>
  <si>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</si>
  <si>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</si>
  <si>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</si>
  <si>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</si>
  <si>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</si>
  <si>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</si>
  <si>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</si>
  <si>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</si>
  <si>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</si>
  <si>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</si>
  <si>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</si>
  <si>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</si>
  <si>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</si>
  <si>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</si>
  <si>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</si>
  <si>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</si>
  <si>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</si>
  <si>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</si>
  <si>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</si>
  <si>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</si>
  <si>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</si>
  <si>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</si>
  <si>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</si>
  <si>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</si>
  <si>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</si>
  <si>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</si>
  <si>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</si>
  <si>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</si>
  <si>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</si>
  <si>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</si>
  <si>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</si>
  <si>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</si>
  <si>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</si>
  <si>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</si>
  <si>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</si>
  <si>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</si>
  <si>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</si>
  <si>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</si>
  <si>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</si>
  <si>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</si>
  <si>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</si>
  <si>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</si>
  <si>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</si>
  <si>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</si>
  <si>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</si>
  <si>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</si>
  <si>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</si>
  <si>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</si>
  <si>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</si>
  <si>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</si>
  <si>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</si>
  <si>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</si>
  <si>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</si>
  <si>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</si>
  <si>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</si>
  <si>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</si>
  <si>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</si>
  <si>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</si>
  <si>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</si>
  <si>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</si>
  <si>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</si>
  <si>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</si>
  <si>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</si>
  <si>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</si>
  <si>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</si>
  <si>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</si>
  <si>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</si>
  <si>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</si>
  <si>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</si>
  <si>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</si>
  <si>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</si>
  <si>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</si>
  <si>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</si>
  <si>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</si>
  <si>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</si>
  <si>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</si>
  <si>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</si>
  <si>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</si>
  <si>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</si>
  <si>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</si>
  <si>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</si>
  <si>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</si>
  <si>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</si>
  <si>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</si>
  <si>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</si>
  <si>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</si>
  <si>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</si>
  <si>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</si>
  <si>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</si>
  <si>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</si>
  <si>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</si>
  <si>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</si>
  <si>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</si>
  <si>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</si>
  <si>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</si>
  <si>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</si>
  <si>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</si>
  <si>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</si>
  <si>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</si>
  <si>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</si>
  <si>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</si>
  <si>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</si>
  <si>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</si>
  <si>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</si>
  <si>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</si>
  <si>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</si>
  <si>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</si>
  <si>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</si>
  <si>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</si>
  <si>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</si>
  <si>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</si>
  <si>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</si>
  <si>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</si>
  <si>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</si>
  <si>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</si>
  <si>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</si>
  <si>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</si>
  <si>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</si>
  <si>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</si>
  <si>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</si>
  <si>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</si>
  <si>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</si>
  <si>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</si>
  <si>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</si>
  <si>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</si>
  <si>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</si>
  <si>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</si>
  <si>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</si>
  <si>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</si>
  <si>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</si>
  <si>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</si>
  <si>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</si>
  <si>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</si>
  <si>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</si>
  <si>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</si>
  <si>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</si>
  <si>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</si>
  <si>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</si>
  <si>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</si>
  <si>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</si>
  <si>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</si>
  <si>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</si>
  <si>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</si>
  <si>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</si>
  <si>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</si>
  <si>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</si>
  <si>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</si>
  <si>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</si>
  <si>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</si>
  <si>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</si>
  <si>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</si>
  <si>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</si>
  <si>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</si>
  <si>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</si>
  <si>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</si>
  <si>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</si>
  <si>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</si>
  <si>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</si>
  <si>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</si>
  <si>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</si>
  <si>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</si>
  <si>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</si>
  <si>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</si>
  <si>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</si>
  <si>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</si>
  <si>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</si>
  <si>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</si>
  <si>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</si>
  <si>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</si>
  <si>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</si>
  <si>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</si>
  <si>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</si>
  <si>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</si>
  <si>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</si>
  <si>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</si>
  <si>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</si>
  <si>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</si>
  <si>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</si>
  <si>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</si>
  <si>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</si>
  <si>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</si>
  <si>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</si>
  <si>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</si>
  <si>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</si>
  <si>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</si>
  <si>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</si>
  <si>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</si>
  <si>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</si>
  <si>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</si>
  <si>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</si>
  <si>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</si>
  <si>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</si>
  <si>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</si>
  <si>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</si>
  <si>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</si>
  <si>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</si>
  <si>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</si>
  <si>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</si>
  <si>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</si>
  <si>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</si>
  <si>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</si>
  <si>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</si>
  <si>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</si>
  <si>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</si>
  <si>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</si>
  <si>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</si>
  <si>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</si>
  <si>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</si>
  <si>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</si>
  <si>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</si>
  <si>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</si>
  <si>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</si>
  <si>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</si>
  <si>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</si>
  <si>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</si>
  <si>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</si>
  <si>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</si>
  <si>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</si>
  <si>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</si>
  <si>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</si>
  <si>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</si>
  <si>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</si>
  <si>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</si>
  <si>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</si>
  <si>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</si>
  <si>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</si>
  <si>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</si>
  <si>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</si>
  <si>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</si>
  <si>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</si>
  <si>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</si>
  <si>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</si>
  <si>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</si>
  <si>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</si>
  <si>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</si>
  <si>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</si>
  <si>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</si>
  <si>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</si>
  <si>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</si>
  <si>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</si>
  <si>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</si>
  <si>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</si>
  <si>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</si>
  <si>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</si>
  <si>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</si>
  <si>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</si>
  <si>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</si>
  <si>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</si>
  <si>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</si>
  <si>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</si>
  <si>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</si>
  <si>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</si>
  <si>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</si>
  <si>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</si>
  <si>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</si>
  <si>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</si>
  <si>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</si>
  <si>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</si>
  <si>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</si>
  <si>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</si>
  <si>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</si>
  <si>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</si>
  <si>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</si>
  <si>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</si>
  <si>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</si>
  <si>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</si>
  <si>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</si>
  <si>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</si>
  <si>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</si>
  <si>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</si>
  <si>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</si>
  <si>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</si>
  <si>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</si>
  <si>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</si>
  <si>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</si>
  <si>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</si>
  <si>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</si>
  <si>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</si>
  <si>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</si>
  <si>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</si>
  <si>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</si>
  <si>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</si>
  <si>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</si>
  <si>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</si>
  <si>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</si>
  <si>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</si>
  <si>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</si>
  <si>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</si>
  <si>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</si>
  <si>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</si>
  <si>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</si>
  <si>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</si>
  <si>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</si>
  <si>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</si>
  <si>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</si>
  <si>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</si>
  <si>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</si>
  <si>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</si>
  <si>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</si>
  <si>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</si>
  <si>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</si>
  <si>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</si>
  <si>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</si>
  <si>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</si>
  <si>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</si>
  <si>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</si>
  <si>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</si>
  <si>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</si>
  <si>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</si>
  <si>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</si>
  <si>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</si>
  <si>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</si>
  <si>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</si>
  <si>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</si>
  <si>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</si>
  <si>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</si>
  <si>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</si>
  <si>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</si>
  <si>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</si>
  <si>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</si>
  <si>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</si>
  <si>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</si>
  <si>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</si>
  <si>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</si>
  <si>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</si>
  <si>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</si>
  <si>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</si>
  <si>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</si>
  <si>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</si>
  <si>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</si>
  <si>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</si>
  <si>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</si>
  <si>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</si>
  <si>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</si>
  <si>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</si>
  <si>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</si>
  <si>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</si>
  <si>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</si>
  <si>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</si>
  <si>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</si>
  <si>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</si>
  <si>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</si>
  <si>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</si>
  <si>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</si>
  <si>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</si>
  <si>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</si>
  <si>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</si>
  <si>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</si>
  <si>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</si>
  <si>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</si>
  <si>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</si>
  <si>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</si>
  <si>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</si>
  <si>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</si>
  <si>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</si>
  <si>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</si>
  <si>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</si>
  <si>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</si>
  <si>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</si>
  <si>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</si>
  <si>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</si>
  <si>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</si>
  <si>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</si>
  <si>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</si>
  <si>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</si>
  <si>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</si>
  <si>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</si>
  <si>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</si>
  <si>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</si>
  <si>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</si>
  <si>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</si>
  <si>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</si>
  <si>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</si>
  <si>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</si>
  <si>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</si>
  <si>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</si>
  <si>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</si>
  <si>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</si>
  <si>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</si>
  <si>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</si>
  <si>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</si>
  <si>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</si>
  <si>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</si>
  <si>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</si>
  <si>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</si>
  <si>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</si>
  <si>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</si>
  <si>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</si>
  <si>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</si>
  <si>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</si>
  <si>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</si>
  <si>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</si>
  <si>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</si>
  <si>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</si>
  <si>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</si>
  <si>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</si>
  <si>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</si>
  <si>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</si>
  <si>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</si>
  <si>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</si>
  <si>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</si>
  <si>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</si>
  <si>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</si>
  <si>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</si>
  <si>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</si>
  <si>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</si>
  <si>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</si>
  <si>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</si>
  <si>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</si>
  <si>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</si>
  <si>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</si>
  <si>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</si>
  <si>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</si>
  <si>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</si>
  <si>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</si>
  <si>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</si>
  <si>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</si>
  <si>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</si>
  <si>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</si>
  <si>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</si>
  <si>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</si>
  <si>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</si>
  <si>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</si>
  <si>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</si>
  <si>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</si>
  <si>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</si>
  <si>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</si>
  <si>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</si>
  <si>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</si>
  <si>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</si>
  <si>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</si>
  <si>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</si>
  <si>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</si>
  <si>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</si>
  <si>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</si>
  <si>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</si>
  <si>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</si>
  <si>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</si>
  <si>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</si>
  <si>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</si>
  <si>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</si>
  <si>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</si>
  <si>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</si>
  <si>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</si>
  <si>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</si>
  <si>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</si>
  <si>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</si>
  <si>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</si>
  <si>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</si>
  <si>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</si>
  <si>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</si>
  <si>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</si>
  <si>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</si>
  <si>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</si>
  <si>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</si>
  <si>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</si>
  <si>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</si>
  <si>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</si>
  <si>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</si>
  <si>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</si>
  <si>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</si>
  <si>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</si>
  <si>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</si>
  <si>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</si>
  <si>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</si>
  <si>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</si>
  <si>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</si>
  <si>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</si>
  <si>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</si>
  <si>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</si>
  <si>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</si>
  <si>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</si>
  <si>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</si>
  <si>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</si>
  <si>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</si>
  <si>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</si>
  <si>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</si>
  <si>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</si>
  <si>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</si>
  <si>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</si>
  <si>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</si>
  <si>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</si>
  <si>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</si>
  <si>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</si>
  <si>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</si>
  <si>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</si>
  <si>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</si>
  <si>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</si>
  <si>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</si>
  <si>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</si>
  <si>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</si>
  <si>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</si>
  <si>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</si>
  <si>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</si>
  <si>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</si>
  <si>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</si>
  <si>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</si>
  <si>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</si>
  <si>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</si>
  <si>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</si>
  <si>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</si>
  <si>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</si>
  <si>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</si>
  <si>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</si>
  <si>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</si>
  <si>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</si>
  <si>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</si>
  <si>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</si>
  <si>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</si>
  <si>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</si>
  <si>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</si>
  <si>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</si>
  <si>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</si>
  <si>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</si>
  <si>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</si>
  <si>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</si>
  <si>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</si>
  <si>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</si>
  <si>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</si>
  <si>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</si>
  <si>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</si>
  <si>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</si>
  <si>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</si>
  <si>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</si>
  <si>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</si>
  <si>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</si>
  <si>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</si>
  <si>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</si>
  <si>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</si>
  <si>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</si>
  <si>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</si>
  <si>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</si>
  <si>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</si>
  <si>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</si>
  <si>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</si>
  <si>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</si>
  <si>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</si>
  <si>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</si>
  <si>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</si>
  <si>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</si>
  <si>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</si>
  <si>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</si>
  <si>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</si>
  <si>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</si>
  <si>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</si>
  <si>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</si>
  <si>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</si>
  <si>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</si>
  <si>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</si>
  <si>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</si>
  <si>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</si>
  <si>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</si>
  <si>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</si>
  <si>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</si>
  <si>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</si>
  <si>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</si>
  <si>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</si>
  <si>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</si>
  <si>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</si>
  <si>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</si>
  <si>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</si>
  <si>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</si>
  <si>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</si>
  <si>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</si>
  <si>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</si>
  <si>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</si>
  <si>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</si>
  <si>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</si>
  <si>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</si>
  <si>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</si>
  <si>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</si>
  <si>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</si>
  <si>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</si>
  <si>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</si>
  <si>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</si>
  <si>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</si>
  <si>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</si>
  <si>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</si>
  <si>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</si>
  <si>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</si>
  <si>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</si>
  <si>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</si>
  <si>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</si>
  <si>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</si>
  <si>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</si>
  <si>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</si>
  <si>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</si>
  <si>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</si>
  <si>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</si>
  <si>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</si>
  <si>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</si>
  <si>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</si>
  <si>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</si>
  <si>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</si>
  <si>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</si>
  <si>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</si>
  <si>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</si>
  <si>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</si>
  <si>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</si>
  <si>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</si>
  <si>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</si>
  <si>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</si>
  <si>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</si>
  <si>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</si>
  <si>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</si>
  <si>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</si>
  <si>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</si>
  <si>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</si>
  <si>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</si>
  <si>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</si>
  <si>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</si>
  <si>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</si>
  <si>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</si>
  <si>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</si>
  <si>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</si>
  <si>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</si>
  <si>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</si>
  <si>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</si>
  <si>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</si>
  <si>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</si>
  <si>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</si>
  <si>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</si>
  <si>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</si>
  <si>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</si>
  <si>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</si>
  <si>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</si>
  <si>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</si>
  <si>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</si>
  <si>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</si>
  <si>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</si>
  <si>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</si>
  <si>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</si>
  <si>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</si>
  <si>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</si>
  <si>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</si>
  <si>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</si>
  <si>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</si>
  <si>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</si>
  <si>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</si>
  <si>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</si>
  <si>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</si>
  <si>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</si>
  <si>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</si>
  <si>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</si>
  <si>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</si>
  <si>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</si>
  <si>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</si>
  <si>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</si>
  <si>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</si>
  <si>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</si>
  <si>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</si>
  <si>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</si>
  <si>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</si>
  <si>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</si>
  <si>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</si>
  <si>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</si>
  <si>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</si>
  <si>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</si>
  <si>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</si>
  <si>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</si>
  <si>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</si>
  <si>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</si>
  <si>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</si>
  <si>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</si>
  <si>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</si>
  <si>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</si>
  <si>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</si>
  <si>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</si>
  <si>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</si>
  <si>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</si>
  <si>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</si>
  <si>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</si>
  <si>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</si>
  <si>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</si>
  <si>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</si>
  <si>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</si>
  <si>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</si>
  <si>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</si>
  <si>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</si>
  <si>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</si>
  <si>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</si>
  <si>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</si>
  <si>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</si>
  <si>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</si>
  <si>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</si>
  <si>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</si>
  <si>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</si>
  <si>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</si>
  <si>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</si>
  <si>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</si>
  <si>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</si>
  <si>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</si>
  <si>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</si>
  <si>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</si>
  <si>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</si>
  <si>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</si>
  <si>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</si>
  <si>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</si>
  <si>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</si>
  <si>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</si>
  <si>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</si>
  <si>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</si>
  <si>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</si>
  <si>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</si>
  <si>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</si>
  <si>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</si>
  <si>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</si>
  <si>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</si>
  <si>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</si>
  <si>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</si>
  <si>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</si>
  <si>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</si>
  <si>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</si>
  <si>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</si>
  <si>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</si>
  <si>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</si>
  <si>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</si>
  <si>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</si>
  <si>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</si>
  <si>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</si>
  <si>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</si>
  <si>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</si>
  <si>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</si>
  <si>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</si>
  <si>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</si>
  <si>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</si>
  <si>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</si>
  <si>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</si>
  <si>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</si>
  <si>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</si>
  <si>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</si>
  <si>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</si>
  <si>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</si>
  <si>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</si>
  <si>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</si>
  <si>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</si>
  <si>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</si>
  <si>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</si>
  <si>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</si>
  <si>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</si>
  <si>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</si>
  <si>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</si>
  <si>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</si>
  <si>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</si>
  <si>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</si>
  <si>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</si>
  <si>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</si>
  <si>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</si>
  <si>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</si>
  <si>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</si>
  <si>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</si>
  <si>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</si>
  <si>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</si>
  <si>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</si>
  <si>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</si>
  <si>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</si>
  <si>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</si>
  <si>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</si>
  <si>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</si>
  <si>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</si>
  <si>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</si>
  <si>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</si>
  <si>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</si>
  <si>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</si>
  <si>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</si>
  <si>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</si>
  <si>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</si>
  <si>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</si>
  <si>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</si>
  <si>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</si>
  <si>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</si>
  <si>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</si>
  <si>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</si>
  <si>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</si>
  <si>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</si>
  <si>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</si>
  <si>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</si>
  <si>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</si>
  <si>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</si>
  <si>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</si>
  <si>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</si>
  <si>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</si>
  <si>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</si>
  <si>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</si>
  <si>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</si>
  <si>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</si>
  <si>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</si>
  <si>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</si>
  <si>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</si>
  <si>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</si>
  <si>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</si>
  <si>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</si>
  <si>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</si>
  <si>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</si>
  <si>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</si>
  <si>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</si>
  <si>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</si>
  <si>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</si>
  <si>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</si>
  <si>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</si>
  <si>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</si>
  <si>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</si>
  <si>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</si>
  <si>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</si>
  <si>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</si>
  <si>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</si>
  <si>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</si>
  <si>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</si>
  <si>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</si>
  <si>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</si>
  <si>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</si>
  <si>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</si>
  <si>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</si>
  <si>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</si>
  <si>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</si>
  <si>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</si>
  <si>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</si>
  <si>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</si>
  <si>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</si>
  <si>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</si>
  <si>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</si>
  <si>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</si>
  <si>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</si>
  <si>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</si>
  <si>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</si>
  <si>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</si>
  <si>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</si>
  <si>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</si>
  <si>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</si>
  <si>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</si>
  <si>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</si>
  <si>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</si>
  <si>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</si>
  <si>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</si>
  <si>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</si>
  <si>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</si>
  <si>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</si>
  <si>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</si>
  <si>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</si>
  <si>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</si>
  <si>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</si>
  <si>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</si>
  <si>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</si>
  <si>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</si>
  <si>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</si>
  <si>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</si>
  <si>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</si>
  <si>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</si>
  <si>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</si>
  <si>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</si>
  <si>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</si>
  <si>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</si>
  <si>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</si>
  <si>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</si>
  <si>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</si>
  <si>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</si>
  <si>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</si>
  <si>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</si>
  <si>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</si>
  <si>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</si>
  <si>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</si>
  <si>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</si>
  <si>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</si>
  <si>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</si>
  <si>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</si>
  <si>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</si>
  <si>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</si>
  <si>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</si>
  <si>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</si>
  <si>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</si>
  <si>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</si>
  <si>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</si>
  <si>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</si>
  <si>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</si>
  <si>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</si>
  <si>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</si>
  <si>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</si>
  <si>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</si>
  <si>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</si>
  <si>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</si>
  <si>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</si>
  <si>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</si>
  <si>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</si>
  <si>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</si>
  <si>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</si>
  <si>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</si>
  <si>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</si>
  <si>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</si>
  <si>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</si>
  <si>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</si>
  <si>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</si>
  <si>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</si>
  <si>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</si>
  <si>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</si>
  <si>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</si>
  <si>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</si>
  <si>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</si>
  <si>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</si>
  <si>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</si>
  <si>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</si>
  <si>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</si>
  <si>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</si>
  <si>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</si>
  <si>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</si>
  <si>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</si>
  <si>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</si>
  <si>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</si>
  <si>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</si>
  <si>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</si>
  <si>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</si>
  <si>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</si>
  <si>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</si>
  <si>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</si>
  <si>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</si>
  <si>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</si>
  <si>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</si>
  <si>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</si>
  <si>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</si>
  <si>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</si>
  <si>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</si>
  <si>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</si>
  <si>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</si>
  <si>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</si>
  <si>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</si>
  <si>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</si>
  <si>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</si>
  <si>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</si>
  <si>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</si>
  <si>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</si>
  <si>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</si>
  <si>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</si>
  <si>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</si>
  <si>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</si>
  <si>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</si>
  <si>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</si>
  <si>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</si>
  <si>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</si>
  <si>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</si>
  <si>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</si>
  <si>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</si>
  <si>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</si>
  <si>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</si>
  <si>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</si>
  <si>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</si>
  <si>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</si>
  <si>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</si>
  <si>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</si>
  <si>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</si>
  <si>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</si>
  <si>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</si>
  <si>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</si>
  <si>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</si>
  <si>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</si>
  <si>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</si>
  <si>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</si>
  <si>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</si>
  <si>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</si>
  <si>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</si>
  <si>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</si>
  <si>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</si>
  <si>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</si>
  <si>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</si>
  <si>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</si>
  <si>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</si>
  <si>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</si>
  <si>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</si>
  <si>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</si>
  <si>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</si>
  <si>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</si>
  <si>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</si>
  <si>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</si>
  <si>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</si>
  <si>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</si>
  <si>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</si>
  <si>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</si>
  <si>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</si>
  <si>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</si>
  <si>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</si>
  <si>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</si>
  <si>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</si>
  <si>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</si>
  <si>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</si>
  <si>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</si>
  <si>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</si>
  <si>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</si>
  <si>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</si>
  <si>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</si>
  <si>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</si>
  <si>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</si>
  <si>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</si>
  <si>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</si>
  <si>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</si>
  <si>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</si>
  <si>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</si>
  <si>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</si>
  <si>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</si>
  <si>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</si>
  <si>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</si>
  <si>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</si>
  <si>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</si>
  <si>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</si>
  <si>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</si>
  <si>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</si>
  <si>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</si>
  <si>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</si>
  <si>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</si>
  <si>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</si>
  <si>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</si>
  <si>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</si>
  <si>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</si>
  <si>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</si>
  <si>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</si>
  <si>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</si>
  <si>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</si>
  <si>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</si>
  <si>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</si>
  <si>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</si>
  <si>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</si>
  <si>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</si>
  <si>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</si>
  <si>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</si>
  <si>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</si>
  <si>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</si>
  <si>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</si>
  <si>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</si>
  <si>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</si>
  <si>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</si>
  <si>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</si>
  <si>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</si>
  <si>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</si>
  <si>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</si>
  <si>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</si>
  <si>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</si>
  <si>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</si>
  <si>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</si>
  <si>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</si>
  <si>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</si>
  <si>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</si>
  <si>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</si>
  <si>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</si>
  <si>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</si>
  <si>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</si>
  <si>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</si>
  <si>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</si>
  <si>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</si>
  <si>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</si>
  <si>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</si>
  <si>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</si>
  <si>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</si>
  <si>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</si>
  <si>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</si>
  <si>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</si>
  <si>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</si>
  <si>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</si>
  <si>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</si>
  <si>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</si>
  <si>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</si>
  <si>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</si>
  <si>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</si>
  <si>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</si>
  <si>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</si>
  <si>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</si>
  <si>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</si>
  <si>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</si>
  <si>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</si>
  <si>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</si>
  <si>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</si>
  <si>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</si>
  <si>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</si>
  <si>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</si>
  <si>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</si>
  <si>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</si>
  <si>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</si>
  <si>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</si>
  <si>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</si>
  <si>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</si>
  <si>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</si>
  <si>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</si>
  <si>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</si>
  <si>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</si>
  <si>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</si>
  <si>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</si>
  <si>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</si>
  <si>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</si>
  <si>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</si>
  <si>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</si>
  <si>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</si>
  <si>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</si>
  <si>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</si>
  <si>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</si>
  <si>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</si>
  <si>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</si>
  <si>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</si>
  <si>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</si>
  <si>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</si>
  <si>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</si>
  <si>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</si>
  <si>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</si>
  <si>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</si>
  <si>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</si>
  <si>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</si>
  <si>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</si>
  <si>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</si>
  <si>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</si>
  <si>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</si>
  <si>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</si>
  <si>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</si>
  <si>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</si>
  <si>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</si>
  <si>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</si>
  <si>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</si>
  <si>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</si>
  <si>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</si>
  <si>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</si>
  <si>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</si>
  <si>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</si>
  <si>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</si>
  <si>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</si>
  <si>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</si>
  <si>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</si>
  <si>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</si>
  <si>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</si>
  <si>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</si>
  <si>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</si>
  <si>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</si>
  <si>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</si>
  <si>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</si>
  <si>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</si>
  <si>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</si>
  <si>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</si>
  <si>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</si>
  <si>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</si>
  <si>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</si>
  <si>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</si>
  <si>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</si>
  <si>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</si>
  <si>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</si>
  <si>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</si>
  <si>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</si>
  <si>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</si>
  <si>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</si>
  <si>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</si>
  <si>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</si>
  <si>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</si>
  <si>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</si>
  <si>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</si>
  <si>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</si>
  <si>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</si>
  <si>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</si>
  <si>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</si>
  <si>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</si>
  <si>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</si>
  <si>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</si>
  <si>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</si>
  <si>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</si>
  <si>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</si>
  <si>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</si>
  <si>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</si>
  <si>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</si>
  <si>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</si>
  <si>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</si>
  <si>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</si>
  <si>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</si>
  <si>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</si>
  <si>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</si>
  <si>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</si>
  <si>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</si>
  <si>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</si>
  <si>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</si>
  <si>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</si>
  <si>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</si>
  <si>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</si>
  <si>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</si>
  <si>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</si>
  <si>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</si>
  <si>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</si>
  <si>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</si>
  <si>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</si>
  <si>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</si>
  <si>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</si>
  <si>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</si>
  <si>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</si>
  <si>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</si>
  <si>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President</t>
  </si>
  <si>
    <t>LabJack Corporation</t>
  </si>
  <si>
    <t>All products produced by LabJack</t>
  </si>
  <si>
    <t>114917771</t>
  </si>
  <si>
    <t>DUNS</t>
  </si>
  <si>
    <t>6900 West Jefferson Ave., Suite 110, Lakewood, CO 80235</t>
  </si>
  <si>
    <t>Toby Stensland</t>
  </si>
  <si>
    <t>support@labjack.com</t>
  </si>
  <si>
    <t>303-942-0228</t>
  </si>
  <si>
    <t>https://labjack.com/blogs/faq/compliance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</si>
</sst>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labjack.com/blogs/faq/compliance" TargetMode="External"/><Relationship Id="rId2" Type="http://schemas.openxmlformats.org/officeDocument/2006/relationships/hyperlink" Target="mailto:support@labjack.com" TargetMode="External"/><Relationship Id="rId1" Type="http://schemas.openxmlformats.org/officeDocument/2006/relationships/hyperlink" Target="mailto:support@labjac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5280AB3-918A-421E-9FCA-7F6AD50382D0}"/>
    </customSheetView>
    <customSheetView guid="{C59130F4-2E03-5E48-94CE-6E4A0484DB9E}" showAutoFilter="1">
      <selection activeCell="E4" sqref="E4"/>
      <pageMargins left="0" right="0" top="0" bottom="0" header="0" footer="0"/>
      <pageSetup paperSize="9" orientation="portrait"/>
      <headerFooter alignWithMargins="0"/>
      <autoFilter ref="B1:N1" xr:uid="{E2ED2E8D-06A3-40DB-95DB-D731496D85A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D032EDEA-2C97-462B-9256-8B45D982C0F3}"/>
    </customSheetView>
    <customSheetView guid="{C59130F4-2E03-5E48-94CE-6E4A0484DB9E}" showAutoFilter="1">
      <selection activeCell="C1" sqref="C1:D65536"/>
      <pageMargins left="0" right="0" top="0" bottom="0" header="0" footer="0"/>
      <pageSetup orientation="portrait"/>
      <headerFooter alignWithMargins="0"/>
      <autoFilter ref="B1:C1" xr:uid="{59B52E9E-5755-47BF-8BB9-E65952B3BF5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sqref="A1:K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20052</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20053</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Lithium</v>
      </c>
      <c r="T14" s="296" t="str">
        <f t="shared" si="14"/>
        <v>Lithium</v>
      </c>
      <c r="U14" s="296" t="str">
        <f t="shared" si="13"/>
        <v>Lithium</v>
      </c>
      <c r="V14" s="296" t="str">
        <f t="shared" si="14"/>
        <v>Lithium</v>
      </c>
      <c r="W14" s="296" t="str">
        <f t="shared" si="13"/>
        <v>Lithium</v>
      </c>
      <c r="X14" s="296" t="str">
        <f t="shared" si="14"/>
        <v>Lithium</v>
      </c>
      <c r="Y14" s="296" t="str">
        <f t="shared" si="13"/>
        <v>Lithium</v>
      </c>
      <c r="Z14" s="296" t="str">
        <f t="shared" si="14"/>
        <v>Lithium</v>
      </c>
      <c r="AA14" s="296" t="str" cm="1">
        <f t="array" ref="AA14">_xlfn.IFNA(INDEX($Z$12:$Z$21,MATCH(0,COUNTIF($AA$12:$AA13,$Z$12:$Z$21),0)),"")</f>
        <v>Lithium</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
      </c>
      <c r="T15" s="296" t="str">
        <f t="shared" si="16"/>
        <v>Mica</v>
      </c>
      <c r="U15" s="296" t="str">
        <f t="shared" si="15"/>
        <v>Mica</v>
      </c>
      <c r="V15" s="296" t="str">
        <f t="shared" si="16"/>
        <v>Mica</v>
      </c>
      <c r="W15" s="296" t="str">
        <f t="shared" si="15"/>
        <v>Mica</v>
      </c>
      <c r="X15" s="296" t="str">
        <f t="shared" si="16"/>
        <v>Mica</v>
      </c>
      <c r="Y15" s="296" t="str">
        <f t="shared" si="15"/>
        <v>Mica</v>
      </c>
      <c r="Z15" s="296" t="str">
        <f t="shared" si="16"/>
        <v>Mica</v>
      </c>
      <c r="AA15" s="296" t="str" cm="1">
        <f t="array" ref="AA15">_xlfn.IFNA(INDEX($Z$12:$Z$21,MATCH(0,COUNTIF($AA$12:$AA14,$Z$12:$Z$21),0)),"")</f>
        <v>Mica</v>
      </c>
      <c r="AB15" s="2"/>
      <c r="AC15" s="2"/>
      <c r="AD15" s="2"/>
      <c r="AE15" s="2"/>
      <c r="AF15" s="2"/>
      <c r="AG15" s="2"/>
    </row>
    <row r="16" spans="1:34" ht="15.75">
      <c r="A16" s="31"/>
      <c r="B16" s="33" t="str">
        <f ca="1">OFFSET(L!$C$1,MATCH("Declaration"&amp;ADDRESS(ROW(),COLUMN(),4),L!$A:$A,0)-1,SL,,)</f>
        <v>Company Unique ID:</v>
      </c>
      <c r="C16" s="67"/>
      <c r="D16" s="412" t="s">
        <v>20054</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
      </c>
      <c r="U16" s="296" t="str">
        <f t="shared" si="17"/>
        <v>Nickel</v>
      </c>
      <c r="V16" s="296" t="str">
        <f t="shared" si="18"/>
        <v>Nickel</v>
      </c>
      <c r="W16" s="296" t="str">
        <f t="shared" si="17"/>
        <v>Nickel</v>
      </c>
      <c r="X16" s="296" t="str">
        <f t="shared" si="18"/>
        <v>Nickel</v>
      </c>
      <c r="Y16" s="296" t="str">
        <f t="shared" si="17"/>
        <v>Nickel</v>
      </c>
      <c r="Z16" s="296" t="str">
        <f t="shared" si="18"/>
        <v>Nickel</v>
      </c>
      <c r="AA16" s="296" t="str" cm="1">
        <f t="array" ref="AA16">_xlfn.IFNA(INDEX($Z$12:$Z$21,MATCH(0,COUNTIF($AA$12:$AA15,$Z$12:$Z$21),0)),"")</f>
        <v>Nickel</v>
      </c>
      <c r="AB16" s="2"/>
      <c r="AC16" s="2"/>
      <c r="AD16" s="2"/>
      <c r="AE16" s="2"/>
      <c r="AF16" s="2"/>
      <c r="AG16" s="2"/>
    </row>
    <row r="17" spans="1:33" ht="15.75">
      <c r="A17" s="31"/>
      <c r="B17" s="33" t="str">
        <f ca="1">OFFSET(L!$C$1,MATCH("Declaration"&amp;ADDRESS(ROW(),COLUMN(),4),L!$A:$A,0)-1,SL,,)</f>
        <v>Company Unique ID Authority:</v>
      </c>
      <c r="C17" s="67"/>
      <c r="D17" s="412" t="s">
        <v>20055</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20056</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2" t="s">
        <v>20057</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20058</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50" t="s">
        <v>20059</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20057</v>
      </c>
      <c r="E22" s="413"/>
      <c r="F22" s="413"/>
      <c r="G22" s="413"/>
      <c r="H22" s="413"/>
      <c r="I22" s="413"/>
      <c r="J22" s="414"/>
      <c r="K22" s="29"/>
      <c r="L22" s="98"/>
      <c r="Q22" s="2"/>
      <c r="R22" s="2"/>
      <c r="S22" s="2"/>
      <c r="T22" s="2"/>
      <c r="U22" s="2"/>
      <c r="V22" s="2"/>
      <c r="W22" s="2"/>
      <c r="X22" s="2"/>
      <c r="Y22" s="2"/>
      <c r="Z22" s="2"/>
      <c r="AA22" s="2">
        <f>10-COUNTIF(AA12:AA21,"")</f>
        <v>5</v>
      </c>
      <c r="AB22" s="2"/>
      <c r="AC22" s="2"/>
      <c r="AD22" s="2"/>
      <c r="AE22" s="2"/>
      <c r="AF22" s="2"/>
      <c r="AG22" s="2"/>
    </row>
    <row r="23" spans="1:33" ht="22.5">
      <c r="A23" s="31"/>
      <c r="B23" s="33" t="str">
        <f ca="1">OFFSET(L!$C$1,MATCH("Declaration"&amp;ADDRESS(ROW(),COLUMN(),4),L!$A:$A,0)-1,SL,,)</f>
        <v>Title - Authorizer:</v>
      </c>
      <c r="C23" s="67"/>
      <c r="D23" s="412" t="s">
        <v>20051</v>
      </c>
      <c r="E23" s="413"/>
      <c r="F23" s="413"/>
      <c r="G23" s="413"/>
      <c r="H23" s="413"/>
      <c r="I23" s="413"/>
      <c r="J23" s="414"/>
      <c r="K23" s="29"/>
      <c r="L23" s="98"/>
      <c r="P23" s="2"/>
      <c r="Q23" s="2"/>
      <c r="R23" s="2"/>
      <c r="S23" s="2"/>
      <c r="T23" s="2"/>
      <c r="U23" s="2"/>
      <c r="V23" s="2"/>
      <c r="W23" s="2"/>
      <c r="X23" s="2"/>
      <c r="Y23" s="2"/>
      <c r="Z23" s="2"/>
      <c r="AA23" s="2">
        <f>IF(AA22=0,0.1,AA22)</f>
        <v>5</v>
      </c>
      <c r="AB23" s="2"/>
      <c r="AC23" s="2"/>
      <c r="AD23" s="2"/>
      <c r="AE23" s="2"/>
      <c r="AF23" s="2"/>
      <c r="AG23" s="2"/>
    </row>
    <row r="24" spans="1:33" ht="22.5">
      <c r="A24" s="31"/>
      <c r="B24" s="33" t="str">
        <f ca="1">OFFSET(L!$C$1,MATCH("Declaration"&amp;ADDRESS(ROW(),COLUMN(),4),L!$A:$A,0)-1,SL,,)</f>
        <v>Email - Authorizer (*):</v>
      </c>
      <c r="C24" s="67"/>
      <c r="D24" s="434" t="s">
        <v>20058</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50" t="s">
        <v>20059</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45827</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Lithium(*)</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Mica(*)</v>
      </c>
      <c r="C33" s="28"/>
      <c r="D33" s="437" t="s">
        <v>25</v>
      </c>
      <c r="E33" s="438"/>
      <c r="F33" s="8"/>
      <c r="G33" s="400"/>
      <c r="H33" s="401"/>
      <c r="I33" s="401"/>
      <c r="J33" s="402"/>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9" t="str">
        <f t="shared" si="32"/>
        <v>Nickel(*)</v>
      </c>
      <c r="C34" s="28"/>
      <c r="D34" s="437" t="s">
        <v>25</v>
      </c>
      <c r="E34" s="438"/>
      <c r="F34" s="8"/>
      <c r="G34" s="400"/>
      <c r="H34" s="401"/>
      <c r="I34" s="401"/>
      <c r="J34" s="402"/>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Lithium(*)</v>
      </c>
      <c r="C44" s="28"/>
      <c r="D44" s="437" t="s">
        <v>25</v>
      </c>
      <c r="E44" s="438"/>
      <c r="F44" s="8"/>
      <c r="G44" s="400"/>
      <c r="H44" s="401"/>
      <c r="I44" s="401"/>
      <c r="J44" s="402"/>
      <c r="K44" s="29"/>
      <c r="L44" s="105"/>
      <c r="P44" s="301" t="str">
        <f t="shared" si="45"/>
        <v>(*)</v>
      </c>
      <c r="R44" s="2"/>
      <c r="S44" s="302" t="str">
        <f t="shared" si="46"/>
        <v>Lithium</v>
      </c>
      <c r="T44" s="303" t="str">
        <f t="shared" ref="T44" si="56">IF(S45="",S44,IF(S44="",S45,IF(S44&gt;S45,S45,S44)))</f>
        <v>Lithium</v>
      </c>
      <c r="U44" s="303" t="str">
        <f t="shared" ref="U44" si="57">IF(T44="",T44,IF(T43="",T43,IF(T43&gt;T44,T43,T44)))</f>
        <v>Lithium</v>
      </c>
      <c r="V44" s="303" t="str">
        <f t="shared" ref="V44" si="58">IF(U45="",U44,IF(U44="",U45,IF(U44&gt;U45,U45,U44)))</f>
        <v>Lithium</v>
      </c>
      <c r="W44" s="303" t="str">
        <f t="shared" ref="W44" si="59">IF(V44="",V44,IF(V43="",V43,IF(V43&gt;V44,V43,V44)))</f>
        <v>Lithium</v>
      </c>
      <c r="X44" s="303" t="str">
        <f t="shared" ref="X44" si="60">IF(W45="",W44,IF(W44="",W45,IF(W44&gt;W45,W45,W44)))</f>
        <v>Lithium</v>
      </c>
      <c r="Y44" s="303" t="str">
        <f t="shared" ref="Y44" si="61">IF(X44="",X44,IF(X43="",X43,IF(X43&gt;X44,X43,X44)))</f>
        <v>Lithium</v>
      </c>
      <c r="Z44" s="303" t="str">
        <f t="shared" ref="Z44" si="62">IF(Y45="",Y44,IF(Y44="",Y45,IF(Y44&gt;Y45,Y45,Y44)))</f>
        <v>Lithium</v>
      </c>
      <c r="AA44" s="303" t="str">
        <f t="shared" ref="AA44" si="63">IF(Z44="",Z44,IF(Z43="",Z43,IF(Z43&gt;Z44,Z43,Z44)))</f>
        <v>Lithium</v>
      </c>
      <c r="AB44" s="303" t="str">
        <f t="shared" ref="AB44" si="64">IF(AA45="",AA44,IF(AA44="",AA45,IF(AA44&gt;AA45,AA45,AA44)))</f>
        <v>Lithium</v>
      </c>
      <c r="AC44" s="303" t="str">
        <f t="shared" ref="AC44" si="65">IF(AB44="",AB44,IF(AB43="",AB43,IF(AB43&gt;AB44,AB43,AB44)))</f>
        <v>Lithium</v>
      </c>
      <c r="AD44" s="2"/>
      <c r="AE44" s="2"/>
      <c r="AF44" s="2"/>
      <c r="AG44" s="2"/>
    </row>
    <row r="45" spans="1:33" ht="22.5">
      <c r="A45" s="34"/>
      <c r="B45" s="300" t="str">
        <f t="shared" si="36"/>
        <v>Mica(*)</v>
      </c>
      <c r="C45" s="28"/>
      <c r="D45" s="437" t="s">
        <v>25</v>
      </c>
      <c r="E45" s="438"/>
      <c r="F45" s="8"/>
      <c r="G45" s="400"/>
      <c r="H45" s="401"/>
      <c r="I45" s="401"/>
      <c r="J45" s="402"/>
      <c r="K45" s="29"/>
      <c r="L45" s="105"/>
      <c r="P45" s="301" t="str">
        <f t="shared" si="45"/>
        <v>(*)</v>
      </c>
      <c r="R45" s="2"/>
      <c r="S45" s="302" t="str">
        <f t="shared" si="46"/>
        <v>Mica</v>
      </c>
      <c r="T45" s="303" t="str">
        <f t="shared" ref="T45" si="66">IF(S45="",S45,IF(S44="",S44,IF(S44&gt;S45,S44,S45)))</f>
        <v>Mica</v>
      </c>
      <c r="U45" s="303" t="str">
        <f t="shared" ref="U45" si="67">IF(T46="",T45,IF(T45="",T46,IF(T45&gt;T46,T46,T45)))</f>
        <v>Mica</v>
      </c>
      <c r="V45" s="303" t="str">
        <f t="shared" ref="V45" si="68">IF(U45="",U45,IF(U44="",U44,IF(U44&gt;U45,U44,U45)))</f>
        <v>Mica</v>
      </c>
      <c r="W45" s="303" t="str">
        <f t="shared" ref="W45" si="69">IF(V46="",V45,IF(V45="",V46,IF(V45&gt;V46,V46,V45)))</f>
        <v>Mica</v>
      </c>
      <c r="X45" s="303" t="str">
        <f t="shared" ref="X45" si="70">IF(W45="",W45,IF(W44="",W44,IF(W44&gt;W45,W44,W45)))</f>
        <v>Mica</v>
      </c>
      <c r="Y45" s="303" t="str">
        <f t="shared" ref="Y45" si="71">IF(X46="",X45,IF(X45="",X46,IF(X45&gt;X46,X46,X45)))</f>
        <v>Mica</v>
      </c>
      <c r="Z45" s="303" t="str">
        <f t="shared" ref="Z45" si="72">IF(Y45="",Y45,IF(Y44="",Y44,IF(Y44&gt;Y45,Y44,Y45)))</f>
        <v>Mica</v>
      </c>
      <c r="AA45" s="303" t="str">
        <f t="shared" ref="AA45" si="73">IF(Z46="",Z45,IF(Z45="",Z46,IF(Z45&gt;Z46,Z46,Z45)))</f>
        <v>Mica</v>
      </c>
      <c r="AB45" s="303" t="str">
        <f t="shared" ref="AB45" si="74">IF(AA45="",AA45,IF(AA44="",AA44,IF(AA44&gt;AA45,AA44,AA45)))</f>
        <v>Mica</v>
      </c>
      <c r="AC45" s="303" t="str">
        <f t="shared" ref="AC45" si="75">IF(AB46="",AB45,IF(AB45="",AB46,IF(AB45&gt;AB46,AB46,AB45)))</f>
        <v>Mica</v>
      </c>
      <c r="AD45" s="2"/>
      <c r="AE45" s="2"/>
      <c r="AF45" s="2"/>
      <c r="AG45" s="2"/>
    </row>
    <row r="46" spans="1:33" ht="22.5">
      <c r="A46" s="34"/>
      <c r="B46" s="300" t="str">
        <f t="shared" si="36"/>
        <v>Nickel(*)</v>
      </c>
      <c r="C46" s="28"/>
      <c r="D46" s="437" t="s">
        <v>25</v>
      </c>
      <c r="E46" s="438"/>
      <c r="F46" s="8"/>
      <c r="G46" s="400"/>
      <c r="H46" s="401"/>
      <c r="I46" s="401"/>
      <c r="J46" s="402"/>
      <c r="K46" s="29"/>
      <c r="L46" s="105"/>
      <c r="P46" s="301" t="str">
        <f t="shared" si="45"/>
        <v>(*)</v>
      </c>
      <c r="R46" s="2"/>
      <c r="S46" s="302" t="str">
        <f t="shared" si="46"/>
        <v>Nickel</v>
      </c>
      <c r="T46" s="303" t="str">
        <f t="shared" ref="T46" si="76">IF(S47="",S46,IF(S46="",S47,IF(S46&gt;S47,S47,S46)))</f>
        <v>Nickel</v>
      </c>
      <c r="U46" s="303" t="str">
        <f t="shared" ref="U46" si="77">IF(T46="",T46,IF(T45="",T45,IF(T45&gt;T46,T45,T46)))</f>
        <v>Nickel</v>
      </c>
      <c r="V46" s="303" t="str">
        <f t="shared" ref="V46" si="78">IF(U47="",U46,IF(U46="",U47,IF(U46&gt;U47,U47,U46)))</f>
        <v>Nickel</v>
      </c>
      <c r="W46" s="303" t="str">
        <f t="shared" ref="W46" si="79">IF(V46="",V46,IF(V45="",V45,IF(V45&gt;V46,V45,V46)))</f>
        <v>Nickel</v>
      </c>
      <c r="X46" s="303" t="str">
        <f t="shared" ref="X46" si="80">IF(W47="",W46,IF(W46="",W47,IF(W46&gt;W47,W47,W46)))</f>
        <v>Nickel</v>
      </c>
      <c r="Y46" s="303" t="str">
        <f t="shared" ref="Y46" si="81">IF(X46="",X46,IF(X45="",X45,IF(X45&gt;X46,X45,X46)))</f>
        <v>Nickel</v>
      </c>
      <c r="Z46" s="303" t="str">
        <f t="shared" ref="Z46" si="82">IF(Y47="",Y46,IF(Y46="",Y47,IF(Y46&gt;Y47,Y47,Y46)))</f>
        <v>Nickel</v>
      </c>
      <c r="AA46" s="303" t="str">
        <f t="shared" ref="AA46" si="83">IF(Z46="",Z46,IF(Z45="",Z45,IF(Z45&gt;Z46,Z45,Z46)))</f>
        <v>Nickel</v>
      </c>
      <c r="AB46" s="303" t="str">
        <f t="shared" ref="AB46" si="84">IF(AA47="",AA46,IF(AA46="",AA47,IF(AA46&gt;AA47,AA47,AA46)))</f>
        <v>Nickel</v>
      </c>
      <c r="AC46" s="303" t="str">
        <f t="shared" ref="AC46" si="85">IF(AB46="",AB46,IF(AB45="",AB45,IF(AB45&gt;AB46,AB45,AB46)))</f>
        <v>Nickel</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Lithium(*)</v>
      </c>
      <c r="C56" s="6"/>
      <c r="D56" s="437" t="s">
        <v>22</v>
      </c>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2.15" customHeight="1">
      <c r="A57" s="34"/>
      <c r="B57" s="300" t="str">
        <f>IF(ISERROR(AA$15),"",AA$15&amp;"")&amp;P$57</f>
        <v>Mica(*)</v>
      </c>
      <c r="C57" s="6"/>
      <c r="D57" s="437" t="s">
        <v>22</v>
      </c>
      <c r="E57" s="438"/>
      <c r="F57" s="40"/>
      <c r="G57" s="400"/>
      <c r="H57" s="401"/>
      <c r="I57" s="401"/>
      <c r="J57" s="402"/>
      <c r="K57" s="29"/>
      <c r="L57" s="105"/>
      <c r="P57" s="301" t="str">
        <f t="shared" si="135"/>
        <v>(*)</v>
      </c>
      <c r="Q57" s="2"/>
      <c r="R57" s="2"/>
      <c r="S57" s="2"/>
      <c r="T57" s="2"/>
      <c r="U57" s="2"/>
      <c r="V57" s="2"/>
      <c r="W57" s="2"/>
      <c r="X57" s="2"/>
      <c r="Y57" s="2">
        <v>41</v>
      </c>
      <c r="Z57" s="2"/>
      <c r="AA57" s="2"/>
      <c r="AB57" s="2"/>
      <c r="AC57" s="2"/>
      <c r="AD57" s="2"/>
      <c r="AE57" s="2"/>
      <c r="AF57" s="2"/>
    </row>
    <row r="58" spans="1:33" ht="22.5">
      <c r="A58" s="34"/>
      <c r="B58" s="300" t="str">
        <f>IF(ISERROR(AA$16),"",AA$16&amp;"")&amp;P$58</f>
        <v>Nickel(*)</v>
      </c>
      <c r="C58" s="6"/>
      <c r="D58" s="437" t="s">
        <v>22</v>
      </c>
      <c r="E58" s="438"/>
      <c r="F58" s="40"/>
      <c r="G58" s="400"/>
      <c r="H58" s="401"/>
      <c r="I58" s="401"/>
      <c r="J58" s="402"/>
      <c r="K58" s="29"/>
      <c r="L58" s="105"/>
      <c r="P58" s="301" t="str">
        <f t="shared" si="135"/>
        <v>(*)</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Lithium(*)</v>
      </c>
      <c r="C68" s="6"/>
      <c r="D68" s="437" t="s">
        <v>22</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Mica(*)</v>
      </c>
      <c r="C69" s="6"/>
      <c r="D69" s="437" t="s">
        <v>22</v>
      </c>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Nickel(*)</v>
      </c>
      <c r="C70" s="6"/>
      <c r="D70" s="437" t="s">
        <v>22</v>
      </c>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28</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28</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Lithium(*)</v>
      </c>
      <c r="C80" s="28"/>
      <c r="D80" s="437" t="s">
        <v>28</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Mica(*)</v>
      </c>
      <c r="C81" s="28"/>
      <c r="D81" s="437" t="s">
        <v>28</v>
      </c>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Nickel(*)</v>
      </c>
      <c r="C82" s="28"/>
      <c r="D82" s="437" t="s">
        <v>28</v>
      </c>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Lithium(*)</v>
      </c>
      <c r="C92" s="6"/>
      <c r="D92" s="437" t="s">
        <v>22</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Mica(*)</v>
      </c>
      <c r="C93" s="6"/>
      <c r="D93" s="437" t="s">
        <v>25</v>
      </c>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Nickel(*)</v>
      </c>
      <c r="C94" s="6"/>
      <c r="D94" s="437" t="s">
        <v>22</v>
      </c>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Lithium(*)</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Mica(*)</v>
      </c>
      <c r="C105" s="28"/>
      <c r="D105" s="437" t="s">
        <v>25</v>
      </c>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Nickel(*)</v>
      </c>
      <c r="C106" s="28"/>
      <c r="D106" s="437" t="s">
        <v>25</v>
      </c>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5" t="s">
        <v>20060</v>
      </c>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Lithium(*)</v>
      </c>
      <c r="C122" s="6"/>
      <c r="D122" s="437" t="s">
        <v>25</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Mica(*)</v>
      </c>
      <c r="C123" s="6"/>
      <c r="D123" s="437" t="s">
        <v>25</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Nickel(*)</v>
      </c>
      <c r="C124" s="6"/>
      <c r="D124" s="437" t="s">
        <v>25</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CBEDB436-6B2F-476D-9A7B-78BC40E22417}"/>
    <hyperlink ref="D24" r:id="rId2" xr:uid="{95428279-9FD6-42BC-A8FB-5A4F3400FC04}"/>
    <hyperlink ref="G117" r:id="rId3" xr:uid="{B5B7F90C-085A-4C82-84F6-A9E805711F51}"/>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21" activePane="bottomLeft" state="frozen"/>
      <selection activeCell="B24" sqref="B24:J24"/>
      <selection pane="bottomLeft" activeCell="A27" sqref="A27"/>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2">
      <c r="A5" s="198" t="s">
        <v>66</v>
      </c>
      <c r="B5" s="304" t="str">
        <f ca="1">IF(LEN(A5)=0,"",INDEX('Smelter Look-up'!$A:$A,MATCH($A5,'Smelter Look-up'!$E:$E,0)))</f>
        <v>Cobalt</v>
      </c>
      <c r="C5" s="152" t="str">
        <f ca="1">IF(LEN(A5)=0,"",INDEX('Smelter Look-up'!$C:$C,MATCH($A5,'Smelter Look-up'!$E:$E,0)))</f>
        <v>Chizhou CN New Materials and Technology Co., Ltd.</v>
      </c>
      <c r="D5" s="149"/>
      <c r="E5" s="149" t="str">
        <f ca="1">IF(ISERROR($V5),"",OFFSET('Smelter Look-up'!$D$4,$V5-4,0)&amp;"")</f>
        <v>CHINA</v>
      </c>
      <c r="F5" s="149" t="str">
        <f ca="1">IF(ISERROR($V5),"",OFFSET('Smelter Look-up'!$E$4,$V5-4,0))</f>
        <v>CID003481</v>
      </c>
      <c r="G5" s="149" t="str">
        <f ca="1">IF(C5=$X$4,"Enter smelter details",IF(ISERROR($V5),"",OFFSET('Smelter Look-up'!$F$4,$V5-4,0)))</f>
        <v>RMI</v>
      </c>
      <c r="H5" s="206">
        <f ca="1">IF(ISERROR($V5),"",OFFSET('Smelter Look-up'!$G$4,$V5-4,0))</f>
        <v>0</v>
      </c>
      <c r="I5" s="207" t="str">
        <f ca="1">IF(ISERROR($V5),"",OFFSET('Smelter Look-up'!$H$4,$V5-4,0))</f>
        <v>Chizhou</v>
      </c>
      <c r="J5" s="207" t="str">
        <f ca="1">IF(ISERROR($V5),"",OFFSET('Smelter Look-up'!$I$4,$V5-4,0))</f>
        <v>Anhui Sheng</v>
      </c>
      <c r="K5" s="150"/>
      <c r="L5" s="150"/>
      <c r="M5" s="150"/>
      <c r="N5" s="150"/>
      <c r="O5" s="150"/>
      <c r="P5" s="209"/>
      <c r="Q5" s="151"/>
      <c r="R5" s="149" t="str">
        <f ca="1">IF(ISERROR($V5),"",OFFSET('Smelter Look-up'!$C$4,$V5-4,0)&amp;"")</f>
        <v>Chizhou CN New Materials and Technology Co., Ltd.</v>
      </c>
      <c r="S5" s="155" t="str">
        <f t="shared" ref="S5:S12" ca="1" si="0">IF(B5="","",IF(ISERROR(MATCH($E5,CL,0)),"Unknown",INDIRECT("'C'!$A$"&amp;MATCH($E5,CL,0)+1)))</f>
        <v>CN</v>
      </c>
      <c r="T5" s="155" t="str">
        <f ca="1">IF(B5="","",IF(ISERROR(MATCH($J5,SorP!$B$1:$B$6226,0)),"",INDIRECT("'SorP'!$A$"&amp;MATCH($S5&amp;$J5,SorP!C:C,0))))</f>
        <v>CN-AH</v>
      </c>
      <c r="U5" s="168"/>
      <c r="V5" s="169">
        <f ca="1">IF(C5="",NA(),MATCH($B5&amp;$C5,'Smelter Look-up'!$J:$J,0))</f>
        <v>8</v>
      </c>
      <c r="X5" s="170">
        <f t="shared" ref="X5:X12" ca="1" si="1">IF(AND(C5="Smelter not listed",OR(LEN(D5)=0,LEN(E5)=0)),1,0)</f>
        <v>0</v>
      </c>
      <c r="AB5" s="314" t="str">
        <f t="shared" ref="AB5:AB12" ca="1" si="2">IF(C5="","",B5)</f>
        <v>Cobalt</v>
      </c>
    </row>
    <row r="6" spans="1:34" s="170" customFormat="1" ht="76.5">
      <c r="A6" s="198" t="s">
        <v>244</v>
      </c>
      <c r="B6" s="304" t="str">
        <f ca="1">IF(LEN(A6)=0,"",INDEX('Smelter Look-up'!$A:$A,MATCH($A6,'Smelter Look-up'!$E:$E,0)))</f>
        <v>Cobalt</v>
      </c>
      <c r="C6" s="152" t="str">
        <f ca="1">IF(LEN(A6)=0,"",INDEX('Smelter Look-up'!$C:$C,MATCH($A6,'Smelter Look-up'!$E:$E,0)))</f>
        <v>Ningbo Yanmen Chemical Co., Ltd.</v>
      </c>
      <c r="D6" s="149"/>
      <c r="E6" s="149" t="str">
        <f ca="1">IF(ISERROR($V6),"",OFFSET('Smelter Look-up'!$D$4,$V6-4,0)&amp;"")</f>
        <v>CHINA</v>
      </c>
      <c r="F6" s="149" t="str">
        <f ca="1">IF(ISERROR($V6),"",OFFSET('Smelter Look-up'!$E$4,$V6-4,0))</f>
        <v>CID003422</v>
      </c>
      <c r="G6" s="149" t="str">
        <f ca="1">IF(C6=$X$4,"Enter smelter details",IF(ISERROR($V6),"",OFFSET('Smelter Look-up'!$F$4,$V6-4,0)))</f>
        <v>RMI</v>
      </c>
      <c r="H6" s="206">
        <f ca="1">IF(ISERROR($V6),"",OFFSET('Smelter Look-up'!$G$4,$V6-4,0))</f>
        <v>0</v>
      </c>
      <c r="I6" s="207" t="str">
        <f ca="1">IF(ISERROR($V6),"",OFFSET('Smelter Look-up'!$H$4,$V6-4,0))</f>
        <v>Ningbo</v>
      </c>
      <c r="J6" s="207" t="str">
        <f ca="1">IF(ISERROR($V6),"",OFFSET('Smelter Look-up'!$I$4,$V6-4,0))</f>
        <v>Zhejiang Sheng</v>
      </c>
      <c r="K6" s="150"/>
      <c r="L6" s="150"/>
      <c r="M6" s="150"/>
      <c r="N6" s="150"/>
      <c r="O6" s="150"/>
      <c r="P6" s="209"/>
      <c r="Q6" s="151"/>
      <c r="R6" s="149" t="str">
        <f ca="1">IF(ISERROR($V6),"",OFFSET('Smelter Look-up'!$C$4,$V6-4,0)&amp;"")</f>
        <v>Ningbo Yanmen Chemical Co., Ltd.</v>
      </c>
      <c r="S6" s="155" t="str">
        <f t="shared" ca="1" si="0"/>
        <v>CN</v>
      </c>
      <c r="T6" s="155" t="str">
        <f ca="1">IF(B6="","",IF(ISERROR(MATCH($J6,SorP!$B$1:$B$6226,0)),"",INDIRECT("'SorP'!$A$"&amp;MATCH($S6&amp;$J6,SorP!C:C,0))))</f>
        <v>CN-ZJ</v>
      </c>
      <c r="U6" s="168"/>
      <c r="V6" s="169">
        <f ca="1">IF(C6="",NA(),MATCH($B6&amp;$C6,'Smelter Look-up'!$J:$J,0))</f>
        <v>123</v>
      </c>
      <c r="X6" s="170">
        <f t="shared" ca="1" si="1"/>
        <v>0</v>
      </c>
      <c r="AB6" s="314" t="str">
        <f t="shared" ca="1" si="2"/>
        <v>Cobalt</v>
      </c>
    </row>
    <row r="7" spans="1:34" s="170" customFormat="1" ht="63.75">
      <c r="A7" s="198" t="s">
        <v>207</v>
      </c>
      <c r="B7" s="304" t="str">
        <f ca="1">IF(LEN(A7)=0,"",INDEX('Smelter Look-up'!$A:$A,MATCH($A7,'Smelter Look-up'!$E:$E,0)))</f>
        <v>Cobalt</v>
      </c>
      <c r="C7" s="152" t="str">
        <f ca="1">IF(LEN(A7)=0,"",INDEX('Smelter Look-up'!$C:$C,MATCH($A7,'Smelter Look-up'!$E:$E,0)))</f>
        <v>Mechema Korea, Co., Ltd.</v>
      </c>
      <c r="D7" s="149"/>
      <c r="E7" s="149" t="str">
        <f ca="1">IF(ISERROR($V7),"",OFFSET('Smelter Look-up'!$D$4,$V7-4,0)&amp;"")</f>
        <v>KOREA, REPUBLIC OF</v>
      </c>
      <c r="F7" s="149" t="str">
        <f ca="1">IF(ISERROR($V7),"",OFFSET('Smelter Look-up'!$E$4,$V7-4,0))</f>
        <v>CID003535</v>
      </c>
      <c r="G7" s="149" t="str">
        <f ca="1">IF(C7=$X$4,"Enter smelter details",IF(ISERROR($V7),"",OFFSET('Smelter Look-up'!$F$4,$V7-4,0)))</f>
        <v>RMI</v>
      </c>
      <c r="H7" s="206">
        <f ca="1">IF(ISERROR($V7),"",OFFSET('Smelter Look-up'!$G$4,$V7-4,0))</f>
        <v>0</v>
      </c>
      <c r="I7" s="207" t="str">
        <f ca="1">IF(ISERROR($V7),"",OFFSET('Smelter Look-up'!$H$4,$V7-4,0))</f>
        <v>Ulsan</v>
      </c>
      <c r="J7" s="207" t="str">
        <f ca="1">IF(ISERROR($V7),"",OFFSET('Smelter Look-up'!$I$4,$V7-4,0))</f>
        <v>Gyeongsangnam-do</v>
      </c>
      <c r="K7" s="150"/>
      <c r="L7" s="150"/>
      <c r="M7" s="150"/>
      <c r="N7" s="150"/>
      <c r="O7" s="150"/>
      <c r="P7" s="209"/>
      <c r="Q7" s="151"/>
      <c r="R7" s="149" t="str">
        <f ca="1">IF(ISERROR($V7),"",OFFSET('Smelter Look-up'!$C$4,$V7-4,0)&amp;"")</f>
        <v>Mechema Korea, Co., Ltd.</v>
      </c>
      <c r="S7" s="155" t="str">
        <f t="shared" ca="1" si="0"/>
        <v>KR</v>
      </c>
      <c r="T7" s="155" t="str">
        <f ca="1">IF(B7="","",IF(ISERROR(MATCH($J7,SorP!$B$1:$B$6226,0)),"",INDIRECT("'SorP'!$A$"&amp;MATCH($S7&amp;$J7,SorP!C:C,0))))</f>
        <v>KR-48</v>
      </c>
      <c r="U7" s="168"/>
      <c r="V7" s="169">
        <f ca="1">IF(C7="",NA(),MATCH($B7&amp;$C7,'Smelter Look-up'!$J:$J,0))</f>
        <v>98</v>
      </c>
      <c r="X7" s="170">
        <f t="shared" ca="1" si="1"/>
        <v>0</v>
      </c>
      <c r="AB7" s="314" t="str">
        <f t="shared" ca="1" si="2"/>
        <v>Cobalt</v>
      </c>
    </row>
    <row r="8" spans="1:34" s="170" customFormat="1" ht="102">
      <c r="A8" s="198" t="s">
        <v>304</v>
      </c>
      <c r="B8" s="304" t="str">
        <f ca="1">IF(LEN(A8)=0,"",INDEX('Smelter Look-up'!$A:$A,MATCH($A8,'Smelter Look-up'!$E:$E,0)))</f>
        <v>Cobalt</v>
      </c>
      <c r="C8" s="152" t="str">
        <f ca="1">IF(LEN(A8)=0,"",INDEX('Smelter Look-up'!$C:$C,MATCH($A8,'Smelter Look-up'!$E:$E,0)))</f>
        <v>Zhejiang Greatpower Cobalt Materials Co., Ltd.</v>
      </c>
      <c r="D8" s="149"/>
      <c r="E8" s="149" t="str">
        <f ca="1">IF(ISERROR($V8),"",OFFSET('Smelter Look-up'!$D$4,$V8-4,0)&amp;"")</f>
        <v>CHINA</v>
      </c>
      <c r="F8" s="149" t="str">
        <f ca="1">IF(ISERROR($V8),"",OFFSET('Smelter Look-up'!$E$4,$V8-4,0))</f>
        <v>CID003526</v>
      </c>
      <c r="G8" s="149" t="str">
        <f ca="1">IF(C8=$X$4,"Enter smelter details",IF(ISERROR($V8),"",OFFSET('Smelter Look-up'!$F$4,$V8-4,0)))</f>
        <v>RMI</v>
      </c>
      <c r="H8" s="206">
        <f ca="1">IF(ISERROR($V8),"",OFFSET('Smelter Look-up'!$G$4,$V8-4,0))</f>
        <v>0</v>
      </c>
      <c r="I8" s="207" t="str">
        <f ca="1">IF(ISERROR($V8),"",OFFSET('Smelter Look-up'!$H$4,$V8-4,0))</f>
        <v>Shaoxing</v>
      </c>
      <c r="J8" s="207" t="str">
        <f ca="1">IF(ISERROR($V8),"",OFFSET('Smelter Look-up'!$I$4,$V8-4,0))</f>
        <v>Zhejiang Sheng</v>
      </c>
      <c r="K8" s="150"/>
      <c r="L8" s="150"/>
      <c r="M8" s="150"/>
      <c r="N8" s="150"/>
      <c r="O8" s="150"/>
      <c r="P8" s="209"/>
      <c r="Q8" s="151"/>
      <c r="R8" s="149" t="str">
        <f ca="1">IF(ISERROR($V8),"",OFFSET('Smelter Look-up'!$C$4,$V8-4,0)&amp;"")</f>
        <v>Zhejiang Greatpower Cobalt Materials Co., Ltd.</v>
      </c>
      <c r="S8" s="155" t="str">
        <f t="shared" ca="1" si="0"/>
        <v>CN</v>
      </c>
      <c r="T8" s="155" t="str">
        <f ca="1">IF(B8="","",IF(ISERROR(MATCH($J8,SorP!$B$1:$B$6226,0)),"",INDIRECT("'SorP'!$A$"&amp;MATCH($S8&amp;$J8,SorP!C:C,0))))</f>
        <v>CN-ZJ</v>
      </c>
      <c r="U8" s="168"/>
      <c r="V8" s="169">
        <f ca="1">IF(C8="",NA(),MATCH($B8&amp;$C8,'Smelter Look-up'!$J:$J,0))</f>
        <v>167</v>
      </c>
      <c r="X8" s="170">
        <f t="shared" ca="1" si="1"/>
        <v>0</v>
      </c>
      <c r="AB8" s="314" t="str">
        <f t="shared" ca="1" si="2"/>
        <v>Cobalt</v>
      </c>
    </row>
    <row r="9" spans="1:34" s="170" customFormat="1" ht="38.25">
      <c r="A9" s="198" t="s">
        <v>82</v>
      </c>
      <c r="B9" s="304" t="str">
        <f ca="1">IF(LEN(A9)=0,"",INDEX('Smelter Look-up'!$A:$A,MATCH($A9,'Smelter Look-up'!$E:$E,0)))</f>
        <v>Cobalt</v>
      </c>
      <c r="C9" s="152" t="str">
        <f ca="1">IF(LEN(A9)=0,"",INDEX('Smelter Look-up'!$C:$C,MATCH($A9,'Smelter Look-up'!$E:$E,0)))</f>
        <v>Cosmo Chemical, Ltd.</v>
      </c>
      <c r="D9" s="149"/>
      <c r="E9" s="149" t="str">
        <f ca="1">IF(ISERROR($V9),"",OFFSET('Smelter Look-up'!$D$4,$V9-4,0)&amp;"")</f>
        <v>KOREA, REPUBLIC OF</v>
      </c>
      <c r="F9" s="149" t="str">
        <f ca="1">IF(ISERROR($V9),"",OFFSET('Smelter Look-up'!$E$4,$V9-4,0))</f>
        <v>CID003415</v>
      </c>
      <c r="G9" s="149" t="str">
        <f ca="1">IF(C9=$X$4,"Enter smelter details",IF(ISERROR($V9),"",OFFSET('Smelter Look-up'!$F$4,$V9-4,0)))</f>
        <v>RMI</v>
      </c>
      <c r="H9" s="206">
        <f ca="1">IF(ISERROR($V9),"",OFFSET('Smelter Look-up'!$G$4,$V9-4,0))</f>
        <v>0</v>
      </c>
      <c r="I9" s="207" t="str">
        <f ca="1">IF(ISERROR($V9),"",OFFSET('Smelter Look-up'!$H$4,$V9-4,0))</f>
        <v>Ulsan</v>
      </c>
      <c r="J9" s="207" t="str">
        <f ca="1">IF(ISERROR($V9),"",OFFSET('Smelter Look-up'!$I$4,$V9-4,0))</f>
        <v>Gyeongsangnam-do</v>
      </c>
      <c r="K9" s="150"/>
      <c r="L9" s="150"/>
      <c r="M9" s="150"/>
      <c r="N9" s="150"/>
      <c r="O9" s="150"/>
      <c r="P9" s="209"/>
      <c r="Q9" s="151"/>
      <c r="R9" s="149" t="str">
        <f ca="1">IF(ISERROR($V9),"",OFFSET('Smelter Look-up'!$C$4,$V9-4,0)&amp;"")</f>
        <v>Cosmo Chemical, Ltd.</v>
      </c>
      <c r="S9" s="155" t="str">
        <f t="shared" ca="1" si="0"/>
        <v>KR</v>
      </c>
      <c r="T9" s="155" t="str">
        <f ca="1">IF(B9="","",IF(ISERROR(MATCH($J9,SorP!$B$1:$B$6226,0)),"",INDIRECT("'SorP'!$A$"&amp;MATCH($S9&amp;$J9,SorP!C:C,0))))</f>
        <v>KR-48</v>
      </c>
      <c r="U9" s="168"/>
      <c r="V9" s="169">
        <f ca="1">IF(C9="",NA(),MATCH($B9&amp;$C9,'Smelter Look-up'!$J:$J,0))</f>
        <v>19</v>
      </c>
      <c r="X9" s="170">
        <f t="shared" ca="1" si="1"/>
        <v>0</v>
      </c>
      <c r="AB9" s="314" t="str">
        <f t="shared" ca="1" si="2"/>
        <v>Cobalt</v>
      </c>
    </row>
    <row r="10" spans="1:34" s="170" customFormat="1" ht="63.75">
      <c r="A10" s="198" t="s">
        <v>96</v>
      </c>
      <c r="B10" s="304" t="str">
        <f ca="1">IF(LEN(A10)=0,"",INDEX('Smelter Look-up'!$A:$A,MATCH($A10,'Smelter Look-up'!$E:$E,0)))</f>
        <v>Cobalt</v>
      </c>
      <c r="C10" s="152" t="str">
        <f ca="1">IF(LEN(A10)=0,"",INDEX('Smelter Look-up'!$C:$C,MATCH($A10,'Smelter Look-up'!$E:$E,0)))</f>
        <v>Fort Saskatchewan Metals Facility</v>
      </c>
      <c r="D10" s="149"/>
      <c r="E10" s="149" t="str">
        <f ca="1">IF(ISERROR($V10),"",OFFSET('Smelter Look-up'!$D$4,$V10-4,0)&amp;"")</f>
        <v>CANADA</v>
      </c>
      <c r="F10" s="149" t="str">
        <f ca="1">IF(ISERROR($V10),"",OFFSET('Smelter Look-up'!$E$4,$V10-4,0))</f>
        <v>CID003242</v>
      </c>
      <c r="G10" s="149" t="str">
        <f ca="1">IF(C10=$X$4,"Enter smelter details",IF(ISERROR($V10),"",OFFSET('Smelter Look-up'!$F$4,$V10-4,0)))</f>
        <v>RMI</v>
      </c>
      <c r="H10" s="206">
        <f ca="1">IF(ISERROR($V10),"",OFFSET('Smelter Look-up'!$G$4,$V10-4,0))</f>
        <v>0</v>
      </c>
      <c r="I10" s="207" t="str">
        <f ca="1">IF(ISERROR($V10),"",OFFSET('Smelter Look-up'!$H$4,$V10-4,0))</f>
        <v>Toronto</v>
      </c>
      <c r="J10" s="207" t="str">
        <f ca="1">IF(ISERROR($V10),"",OFFSET('Smelter Look-up'!$I$4,$V10-4,0))</f>
        <v>Ontario</v>
      </c>
      <c r="K10" s="150"/>
      <c r="L10" s="150"/>
      <c r="M10" s="150"/>
      <c r="N10" s="150"/>
      <c r="O10" s="150"/>
      <c r="P10" s="209"/>
      <c r="Q10" s="151"/>
      <c r="R10" s="149" t="str">
        <f ca="1">IF(ISERROR($V10),"",OFFSET('Smelter Look-up'!$C$4,$V10-4,0)&amp;"")</f>
        <v>Fort Saskatchewan Metals Facility</v>
      </c>
      <c r="S10" s="155" t="str">
        <f t="shared" ca="1" si="0"/>
        <v>CA</v>
      </c>
      <c r="T10" s="155" t="str">
        <f ca="1">IF(B10="","",IF(ISERROR(MATCH($J10,SorP!$B$1:$B$6226,0)),"",INDIRECT("'SorP'!$A$"&amp;MATCH($S10&amp;$J10,SorP!C:C,0))))</f>
        <v>CA-ON</v>
      </c>
      <c r="U10" s="168"/>
      <c r="V10" s="169">
        <f ca="1">IF(C10="",NA(),MATCH($B10&amp;$C10,'Smelter Look-up'!$J:$J,0))</f>
        <v>28</v>
      </c>
      <c r="X10" s="170">
        <f t="shared" ca="1" si="1"/>
        <v>0</v>
      </c>
      <c r="AB10" s="314" t="str">
        <f t="shared" ca="1" si="2"/>
        <v>Cobalt</v>
      </c>
    </row>
    <row r="11" spans="1:34" s="170" customFormat="1" ht="51">
      <c r="A11" s="199" t="s">
        <v>322</v>
      </c>
      <c r="B11" s="304" t="str">
        <f ca="1">IF(LEN(A11)=0,"",INDEX('Smelter Look-up'!$A:$A,MATCH($A11,'Smelter Look-up'!$E:$E,0)))</f>
        <v>Mica</v>
      </c>
      <c r="C11" s="152" t="str">
        <f ca="1">IF(LEN(A11)=0,"",INDEX('Smelter Look-up'!$C:$C,MATCH($A11,'Smelter Look-up'!$E:$E,0)))</f>
        <v>G. K. INTERNATIONAL</v>
      </c>
      <c r="D11" s="149"/>
      <c r="E11" s="149" t="str">
        <f ca="1">IF(ISERROR($V11),"",OFFSET('Smelter Look-up'!$D$4,$V11-4,0)&amp;"")</f>
        <v>INDIA</v>
      </c>
      <c r="F11" s="149" t="str">
        <f ca="1">IF(ISERROR($V11),"",OFFSET('Smelter Look-up'!$E$4,$V11-4,0))</f>
        <v>CID003623</v>
      </c>
      <c r="G11" s="149" t="str">
        <f ca="1">IF(C11=$X$4,"Enter smelter details",IF(ISERROR($V11),"",OFFSET('Smelter Look-up'!$F$4,$V11-4,0)))</f>
        <v>RMI</v>
      </c>
      <c r="H11" s="206">
        <f ca="1">IF(ISERROR($V11),"",OFFSET('Smelter Look-up'!$G$4,$V11-4,0))</f>
        <v>0</v>
      </c>
      <c r="I11" s="207" t="str">
        <f ca="1">IF(ISERROR($V11),"",OFFSET('Smelter Look-up'!$H$4,$V11-4,0))</f>
        <v>Kolkata</v>
      </c>
      <c r="J11" s="207" t="str">
        <f ca="1">IF(ISERROR($V11),"",OFFSET('Smelter Look-up'!$I$4,$V11-4,0))</f>
        <v>West Bengal</v>
      </c>
      <c r="K11" s="150"/>
      <c r="L11" s="150"/>
      <c r="M11" s="150"/>
      <c r="N11" s="150"/>
      <c r="O11" s="150"/>
      <c r="P11" s="209"/>
      <c r="Q11" s="151"/>
      <c r="R11" s="149" t="str">
        <f ca="1">IF(ISERROR($V11),"",OFFSET('Smelter Look-up'!$C$4,$V11-4,0)&amp;"")</f>
        <v>G. K. INTERNATIONAL</v>
      </c>
      <c r="S11" s="155" t="str">
        <f t="shared" ca="1" si="0"/>
        <v>IN</v>
      </c>
      <c r="T11" s="155" t="str">
        <f ca="1">IF(B11="","",IF(ISERROR(MATCH($J11,SorP!$B$1:$B$6226,0)),"",INDIRECT("'SorP'!$A$"&amp;MATCH($S11&amp;$J11,SorP!C:C,0))))</f>
        <v>IN-WB</v>
      </c>
      <c r="U11" s="168"/>
      <c r="V11" s="169">
        <f ca="1">IF(C11="",NA(),MATCH($B11&amp;$C11,'Smelter Look-up'!$J:$J,0))</f>
        <v>350</v>
      </c>
      <c r="X11" s="170">
        <f t="shared" ca="1" si="1"/>
        <v>0</v>
      </c>
      <c r="AB11" s="314" t="str">
        <f t="shared" ca="1" si="2"/>
        <v>Mica</v>
      </c>
    </row>
    <row r="12" spans="1:34" s="170" customFormat="1" ht="38.25">
      <c r="A12" s="198" t="s">
        <v>358</v>
      </c>
      <c r="B12" s="304" t="str">
        <f ca="1">IF(LEN(A12)=0,"",INDEX('Smelter Look-up'!$A:$A,MATCH($A12,'Smelter Look-up'!$E:$E,0)))</f>
        <v>Mica</v>
      </c>
      <c r="C12" s="152" t="str">
        <f ca="1">IF(LEN(A12)=0,"",INDEX('Smelter Look-up'!$C:$C,MATCH($A12,'Smelter Look-up'!$E:$E,0)))</f>
        <v>Yamaguchi Mica</v>
      </c>
      <c r="D12" s="149"/>
      <c r="E12" s="149" t="str">
        <f ca="1">IF(ISERROR($V12),"",OFFSET('Smelter Look-up'!$D$4,$V12-4,0)&amp;"")</f>
        <v>JAPAN</v>
      </c>
      <c r="F12" s="149" t="str">
        <f ca="1">IF(ISERROR($V12),"",OFFSET('Smelter Look-up'!$E$4,$V12-4,0))</f>
        <v>CID003512</v>
      </c>
      <c r="G12" s="149" t="str">
        <f ca="1">IF(C12=$X$4,"Enter smelter details",IF(ISERROR($V12),"",OFFSET('Smelter Look-up'!$F$4,$V12-4,0)))</f>
        <v>RMI</v>
      </c>
      <c r="H12" s="206">
        <f ca="1">IF(ISERROR($V12),"",OFFSET('Smelter Look-up'!$G$4,$V12-4,0))</f>
        <v>0</v>
      </c>
      <c r="I12" s="207" t="str">
        <f ca="1">IF(ISERROR($V12),"",OFFSET('Smelter Look-up'!$H$4,$V12-4,0))</f>
        <v>Toyokawa</v>
      </c>
      <c r="J12" s="207" t="str">
        <f ca="1">IF(ISERROR($V12),"",OFFSET('Smelter Look-up'!$I$4,$V12-4,0))</f>
        <v>Aichi</v>
      </c>
      <c r="K12" s="150"/>
      <c r="L12" s="150"/>
      <c r="M12" s="150"/>
      <c r="N12" s="150"/>
      <c r="O12" s="150"/>
      <c r="P12" s="209"/>
      <c r="Q12" s="151"/>
      <c r="R12" s="149" t="str">
        <f ca="1">IF(ISERROR($V12),"",OFFSET('Smelter Look-up'!$C$4,$V12-4,0)&amp;"")</f>
        <v>Yamaguchi Mica</v>
      </c>
      <c r="S12" s="155" t="str">
        <f t="shared" ca="1" si="0"/>
        <v>JP</v>
      </c>
      <c r="T12" s="155" t="str">
        <f ca="1">IF(B12="","",IF(ISERROR(MATCH($J12,SorP!$B$1:$B$6226,0)),"",INDIRECT("'SorP'!$A$"&amp;MATCH($S12&amp;$J12,SorP!C:C,0))))</f>
        <v>JP-23</v>
      </c>
      <c r="U12" s="168"/>
      <c r="V12" s="169">
        <f ca="1">IF(C12="",NA(),MATCH($B12&amp;$C12,'Smelter Look-up'!$J:$J,0))</f>
        <v>374</v>
      </c>
      <c r="X12" s="170">
        <f t="shared" ca="1" si="1"/>
        <v>0</v>
      </c>
      <c r="AB12" s="314" t="str">
        <f t="shared" ca="1" si="2"/>
        <v>Mica</v>
      </c>
    </row>
    <row r="13" spans="1:34" s="170" customFormat="1" ht="38.25">
      <c r="A13" s="198" t="s">
        <v>326</v>
      </c>
      <c r="B13" s="304" t="str">
        <f ca="1">IF(LEN(A13)=0,"",INDEX('Smelter Look-up'!$A:$A,MATCH($A13,'Smelter Look-up'!$E:$E,0)))</f>
        <v>Mica</v>
      </c>
      <c r="C13" s="152" t="str">
        <f ca="1">IF(LEN(A13)=0,"",INDEX('Smelter Look-up'!$C:$C,MATCH($A13,'Smelter Look-up'!$E:$E,0)))</f>
        <v>Imerys Canada, Inc.</v>
      </c>
      <c r="D13" s="149"/>
      <c r="E13" s="149" t="str">
        <f ca="1">IF(ISERROR($V13),"",OFFSET('Smelter Look-up'!$D$4,$V13-4,0)&amp;"")</f>
        <v>CANADA</v>
      </c>
      <c r="F13" s="149" t="str">
        <f ca="1">IF(ISERROR($V13),"",OFFSET('Smelter Look-up'!$E$4,$V13-4,0))</f>
        <v>CID003589</v>
      </c>
      <c r="G13" s="149" t="str">
        <f ca="1">IF(C13=$X$4,"Enter smelter details",IF(ISERROR($V13),"",OFFSET('Smelter Look-up'!$F$4,$V13-4,0)))</f>
        <v>RMI</v>
      </c>
      <c r="H13" s="206">
        <f ca="1">IF(ISERROR($V13),"",OFFSET('Smelter Look-up'!$G$4,$V13-4,0))</f>
        <v>0</v>
      </c>
      <c r="I13" s="207" t="str">
        <f ca="1">IF(ISERROR($V13),"",OFFSET('Smelter Look-up'!$H$4,$V13-4,0))</f>
        <v>Montreal</v>
      </c>
      <c r="J13" s="207" t="str">
        <f ca="1">IF(ISERROR($V13),"",OFFSET('Smelter Look-up'!$I$4,$V13-4,0))</f>
        <v>Quebec</v>
      </c>
      <c r="K13" s="150"/>
      <c r="L13" s="150"/>
      <c r="M13" s="150"/>
      <c r="N13" s="150"/>
      <c r="O13" s="150"/>
      <c r="P13" s="209"/>
      <c r="Q13" s="151"/>
      <c r="R13" s="149" t="str">
        <f ca="1">IF(ISERROR($V13),"",OFFSET('Smelter Look-up'!$C$4,$V13-4,0)&amp;"")</f>
        <v>Imerys Canada, Inc.</v>
      </c>
      <c r="S13" s="155" t="str">
        <f t="shared" ref="S13:S63" ca="1" si="3">IF(B13="","",IF(ISERROR(MATCH($E13,CL,0)),"Unknown",INDIRECT("'C'!$A$"&amp;MATCH($E13,CL,0)+1)))</f>
        <v>CA</v>
      </c>
      <c r="T13" s="155" t="str">
        <f ca="1">IF(B13="","",IF(ISERROR(MATCH($J13,SorP!$B$1:$B$6226,0)),"",INDIRECT("'SorP'!$A$"&amp;MATCH($S13&amp;$J13,SorP!C:C,0))))</f>
        <v>CA-QC</v>
      </c>
      <c r="U13" s="168"/>
      <c r="V13" s="169">
        <f ca="1">IF(C13="",NA(),MATCH($B13&amp;$C13,'Smelter Look-up'!$J:$J,0))</f>
        <v>353</v>
      </c>
      <c r="X13" s="170">
        <f t="shared" ref="X13:X62" ca="1" si="4">IF(AND(C13="Smelter not listed",OR(LEN(D13)=0,LEN(E13)=0)),1,0)</f>
        <v>0</v>
      </c>
      <c r="AB13" s="314" t="str">
        <f t="shared" ref="AB13:AB69" ca="1" si="5">IF(C13="","",B13)</f>
        <v>Mica</v>
      </c>
    </row>
    <row r="14" spans="1:34" s="170" customFormat="1" ht="63.75">
      <c r="A14" s="199" t="s">
        <v>338</v>
      </c>
      <c r="B14" s="304" t="str">
        <f ca="1">IF(LEN(A14)=0,"",INDEX('Smelter Look-up'!$A:$A,MATCH($A14,'Smelter Look-up'!$E:$E,0)))</f>
        <v>Mica</v>
      </c>
      <c r="C14" s="152" t="str">
        <f ca="1">IF(LEN(A14)=0,"",INDEX('Smelter Look-up'!$C:$C,MATCH($A14,'Smelter Look-up'!$E:$E,0)))</f>
        <v>LAXIM MINERALS CORPORATION</v>
      </c>
      <c r="D14" s="149"/>
      <c r="E14" s="149" t="str">
        <f ca="1">IF(ISERROR($V14),"",OFFSET('Smelter Look-up'!$D$4,$V14-4,0)&amp;"")</f>
        <v>INDIA</v>
      </c>
      <c r="F14" s="149" t="str">
        <f ca="1">IF(ISERROR($V14),"",OFFSET('Smelter Look-up'!$E$4,$V14-4,0))</f>
        <v>CID003624</v>
      </c>
      <c r="G14" s="149" t="str">
        <f ca="1">IF(C14=$X$4,"Enter smelter details",IF(ISERROR($V14),"",OFFSET('Smelter Look-up'!$F$4,$V14-4,0)))</f>
        <v>RMI</v>
      </c>
      <c r="H14" s="206">
        <f ca="1">IF(ISERROR($V14),"",OFFSET('Smelter Look-up'!$G$4,$V14-4,0))</f>
        <v>0</v>
      </c>
      <c r="I14" s="207" t="str">
        <f ca="1">IF(ISERROR($V14),"",OFFSET('Smelter Look-up'!$H$4,$V14-4,0))</f>
        <v>Koderma</v>
      </c>
      <c r="J14" s="207" t="str">
        <f ca="1">IF(ISERROR($V14),"",OFFSET('Smelter Look-up'!$I$4,$V14-4,0))</f>
        <v>Jhārkhand</v>
      </c>
      <c r="K14" s="150"/>
      <c r="L14" s="150"/>
      <c r="M14" s="150"/>
      <c r="N14" s="150"/>
      <c r="O14" s="150"/>
      <c r="P14" s="209"/>
      <c r="Q14" s="151"/>
      <c r="R14" s="149" t="str">
        <f ca="1">IF(ISERROR($V14),"",OFFSET('Smelter Look-up'!$C$4,$V14-4,0)&amp;"")</f>
        <v>LAXIM MINERALS CORPORATION</v>
      </c>
      <c r="S14" s="155" t="str">
        <f t="shared" ca="1" si="3"/>
        <v>IN</v>
      </c>
      <c r="T14" s="155" t="str">
        <f ca="1">IF(B14="","",IF(ISERROR(MATCH($J14,SorP!$B$1:$B$6226,0)),"",INDIRECT("'SorP'!$A$"&amp;MATCH($S14&amp;$J14,SorP!C:C,0))))</f>
        <v>IN-JH</v>
      </c>
      <c r="U14" s="168"/>
      <c r="V14" s="169">
        <f ca="1">IF(C14="",NA(),MATCH($B14&amp;$C14,'Smelter Look-up'!$J:$J,0))</f>
        <v>357</v>
      </c>
      <c r="X14" s="170">
        <f t="shared" ca="1" si="4"/>
        <v>0</v>
      </c>
      <c r="AB14" s="314" t="str">
        <f t="shared" ca="1" si="5"/>
        <v>Mica</v>
      </c>
    </row>
    <row r="15" spans="1:34" s="170" customFormat="1" ht="89.25">
      <c r="A15" s="199" t="s">
        <v>18664</v>
      </c>
      <c r="B15" s="304" t="s">
        <v>18641</v>
      </c>
      <c r="C15" s="152" t="str">
        <f ca="1">IF(LEN(A15)=0,"",INDEX('Smelter Look-up'!$C:$C,MATCH($A15,'Smelter Look-up'!$E:$E,0)))</f>
        <v>Hindalco Industries Ltd - Unit Birla Copper</v>
      </c>
      <c r="D15" s="149"/>
      <c r="E15" s="149" t="str">
        <f ca="1">IF(ISERROR($V15),"",OFFSET('Smelter Look-up'!$D$4,$V15-4,0)&amp;"")</f>
        <v>INDIA</v>
      </c>
      <c r="F15" s="149" t="str">
        <f ca="1">IF(ISERROR($V15),"",OFFSET('Smelter Look-up'!$E$4,$V15-4,0))</f>
        <v>CID004224</v>
      </c>
      <c r="G15" s="149" t="str">
        <f ca="1">IF(C15=$X$4,"Enter smelter details",IF(ISERROR($V15),"",OFFSET('Smelter Look-up'!$F$4,$V15-4,0)))</f>
        <v>RMI</v>
      </c>
      <c r="H15" s="206">
        <f ca="1">IF(ISERROR($V15),"",OFFSET('Smelter Look-up'!$G$4,$V15-4,0))</f>
        <v>0</v>
      </c>
      <c r="I15" s="207" t="str">
        <f ca="1">IF(ISERROR($V15),"",OFFSET('Smelter Look-up'!$H$4,$V15-4,0))</f>
        <v>Bharuch</v>
      </c>
      <c r="J15" s="207" t="str">
        <f ca="1">IF(ISERROR($V15),"",OFFSET('Smelter Look-up'!$I$4,$V15-4,0))</f>
        <v>Gujarāt</v>
      </c>
      <c r="K15" s="150"/>
      <c r="L15" s="150"/>
      <c r="M15" s="150"/>
      <c r="N15" s="150"/>
      <c r="O15" s="150"/>
      <c r="P15" s="209"/>
      <c r="Q15" s="151"/>
      <c r="R15" s="149" t="str">
        <f ca="1">IF(ISERROR($V15),"",OFFSET('Smelter Look-up'!$C$4,$V15-4,0)&amp;"")</f>
        <v>Hindalco Industries Ltd - Unit Birla Copper</v>
      </c>
      <c r="S15" s="155" t="str">
        <f t="shared" ca="1" si="3"/>
        <v>IN</v>
      </c>
      <c r="T15" s="155" t="str">
        <f ca="1">IF(B15="","",IF(ISERROR(MATCH($J15,SorP!$B$1:$B$6226,0)),"",INDIRECT("'SorP'!$A$"&amp;MATCH($S15&amp;$J15,SorP!C:C,0))))</f>
        <v>IN-GJ</v>
      </c>
      <c r="U15" s="168"/>
      <c r="V15" s="169">
        <f ca="1">IF(C15="",NA(),MATCH($B15&amp;$C15,'Smelter Look-up'!$J:$J,0))</f>
        <v>205</v>
      </c>
      <c r="X15" s="170">
        <f t="shared" ca="1" si="4"/>
        <v>0</v>
      </c>
      <c r="AB15" s="314" t="str">
        <f t="shared" ca="1" si="5"/>
        <v>Copper</v>
      </c>
    </row>
    <row r="16" spans="1:34" s="170" customFormat="1" ht="63.75">
      <c r="A16" s="198" t="s">
        <v>18781</v>
      </c>
      <c r="B16" s="304" t="str">
        <f ca="1">IF(LEN(A16)=0,"",INDEX('Smelter Look-up'!$A:$A,MATCH($A16,'Smelter Look-up'!$E:$E,0)))</f>
        <v>Copper</v>
      </c>
      <c r="C16" s="152" t="str">
        <f ca="1">IF(LEN(A16)=0,"",INDEX('Smelter Look-up'!$C:$C,MATCH($A16,'Smelter Look-up'!$E:$E,0)))</f>
        <v>Vedanta Limited-Sterlite Copper</v>
      </c>
      <c r="D16" s="149"/>
      <c r="E16" s="149" t="str">
        <f ca="1">IF(ISERROR($V16),"",OFFSET('Smelter Look-up'!$D$4,$V16-4,0)&amp;"")</f>
        <v>INDIA</v>
      </c>
      <c r="F16" s="149" t="str">
        <f ca="1">IF(ISERROR($V16),"",OFFSET('Smelter Look-up'!$E$4,$V16-4,0))</f>
        <v>CID004228</v>
      </c>
      <c r="G16" s="149" t="str">
        <f ca="1">IF(C16=$X$4,"Enter smelter details",IF(ISERROR($V16),"",OFFSET('Smelter Look-up'!$F$4,$V16-4,0)))</f>
        <v>RMI</v>
      </c>
      <c r="H16" s="206">
        <f ca="1">IF(ISERROR($V16),"",OFFSET('Smelter Look-up'!$G$4,$V16-4,0))</f>
        <v>0</v>
      </c>
      <c r="I16" s="207" t="str">
        <f ca="1">IF(ISERROR($V16),"",OFFSET('Smelter Look-up'!$H$4,$V16-4,0))</f>
        <v>Silvassa</v>
      </c>
      <c r="J16" s="207" t="str">
        <f ca="1">IF(ISERROR($V16),"",OFFSET('Smelter Look-up'!$I$4,$V16-4,0))</f>
        <v>Dādra and Nagar Haveli and Damān and Diu</v>
      </c>
      <c r="K16" s="150"/>
      <c r="L16" s="150"/>
      <c r="M16" s="150"/>
      <c r="N16" s="150"/>
      <c r="O16" s="150"/>
      <c r="P16" s="209"/>
      <c r="Q16" s="151"/>
      <c r="R16" s="149" t="str">
        <f ca="1">IF(ISERROR($V16),"",OFFSET('Smelter Look-up'!$C$4,$V16-4,0)&amp;"")</f>
        <v>Vedanta Limited-Sterlite Copper</v>
      </c>
      <c r="S16" s="155" t="str">
        <f t="shared" ca="1" si="3"/>
        <v>IN</v>
      </c>
      <c r="T16" s="155" t="str">
        <f ca="1">IF(B16="","",IF(ISERROR(MATCH($J16,SorP!$B$1:$B$6226,0)),"",INDIRECT("'SorP'!$A$"&amp;MATCH($S16&amp;$J16,SorP!C:C,0))))</f>
        <v>IN-DH</v>
      </c>
      <c r="U16" s="168"/>
      <c r="V16" s="169">
        <f ca="1">IF(C16="",NA(),MATCH($B16&amp;$C16,'Smelter Look-up'!$J:$J,0))</f>
        <v>273</v>
      </c>
      <c r="X16" s="170">
        <f t="shared" ca="1" si="4"/>
        <v>0</v>
      </c>
      <c r="AB16" s="314" t="str">
        <f t="shared" ca="1" si="5"/>
        <v>Copper</v>
      </c>
    </row>
    <row r="17" spans="1:28" s="170" customFormat="1" ht="102">
      <c r="A17" s="198" t="s">
        <v>18703</v>
      </c>
      <c r="B17" s="304" t="str">
        <f ca="1">IF(LEN(A17)=0,"",INDEX('Smelter Look-up'!$A:$A,MATCH($A17,'Smelter Look-up'!$E:$E,0)))</f>
        <v>Copper</v>
      </c>
      <c r="C17" s="152" t="str">
        <f ca="1">IF(LEN(A17)=0,"",INDEX('Smelter Look-up'!$C:$C,MATCH($A17,'Smelter Look-up'!$E:$E,0)))</f>
        <v>JX Nippon Mining &amp; Metals Co., Ltd. Hitachi</v>
      </c>
      <c r="D17" s="149"/>
      <c r="E17" s="149" t="str">
        <f ca="1">IF(ISERROR($V17),"",OFFSET('Smelter Look-up'!$D$4,$V17-4,0)&amp;"")</f>
        <v>JAPAN</v>
      </c>
      <c r="F17" s="149" t="str">
        <f ca="1">IF(ISERROR($V17),"",OFFSET('Smelter Look-up'!$E$4,$V17-4,0))</f>
        <v>CID003996</v>
      </c>
      <c r="G17" s="149" t="str">
        <f ca="1">IF(C17=$X$4,"Enter smelter details",IF(ISERROR($V17),"",OFFSET('Smelter Look-up'!$F$4,$V17-4,0)))</f>
        <v>RMI</v>
      </c>
      <c r="H17" s="206">
        <f ca="1">IF(ISERROR($V17),"",OFFSET('Smelter Look-up'!$G$4,$V17-4,0))</f>
        <v>0</v>
      </c>
      <c r="I17" s="207" t="str">
        <f ca="1">IF(ISERROR($V17),"",OFFSET('Smelter Look-up'!$H$4,$V17-4,0))</f>
        <v>Hitachi-shi</v>
      </c>
      <c r="J17" s="207" t="str">
        <f ca="1">IF(ISERROR($V17),"",OFFSET('Smelter Look-up'!$I$4,$V17-4,0))</f>
        <v>Ibaraki</v>
      </c>
      <c r="K17" s="150"/>
      <c r="L17" s="150"/>
      <c r="M17" s="150"/>
      <c r="N17" s="150"/>
      <c r="O17" s="150"/>
      <c r="P17" s="209"/>
      <c r="Q17" s="151"/>
      <c r="R17" s="149" t="str">
        <f ca="1">IF(ISERROR($V17),"",OFFSET('Smelter Look-up'!$C$4,$V17-4,0)&amp;"")</f>
        <v>JX Nippon Mining &amp; Metals Co., Ltd. Hitachi</v>
      </c>
      <c r="S17" s="155" t="str">
        <f t="shared" ca="1" si="3"/>
        <v>JP</v>
      </c>
      <c r="T17" s="155" t="str">
        <f ca="1">IF(B17="","",IF(ISERROR(MATCH($J17,SorP!$B$1:$B$6226,0)),"",INDIRECT("'SorP'!$A$"&amp;MATCH($S17&amp;$J17,SorP!C:C,0))))</f>
        <v>JP-08</v>
      </c>
      <c r="U17" s="168"/>
      <c r="V17" s="169">
        <f ca="1">IF(C17="",NA(),MATCH($B17&amp;$C17,'Smelter Look-up'!$J:$J,0))</f>
        <v>211</v>
      </c>
      <c r="X17" s="170">
        <f t="shared" ca="1" si="4"/>
        <v>0</v>
      </c>
      <c r="AB17" s="314" t="str">
        <f t="shared" ca="1" si="5"/>
        <v>Copper</v>
      </c>
    </row>
    <row r="18" spans="1:28" s="170" customFormat="1" ht="25.5">
      <c r="A18" s="198" t="s">
        <v>18752</v>
      </c>
      <c r="B18" s="304" t="str">
        <f ca="1">IF(LEN(A18)=0,"",INDEX('Smelter Look-up'!$A:$A,MATCH($A18,'Smelter Look-up'!$E:$E,0)))</f>
        <v>Copper</v>
      </c>
      <c r="C18" s="152" t="str">
        <f ca="1">IF(LEN(A18)=0,"",INDEX('Smelter Look-up'!$C:$C,MATCH($A18,'Smelter Look-up'!$E:$E,0)))</f>
        <v>Olympic Dam</v>
      </c>
      <c r="D18" s="149"/>
      <c r="E18" s="149" t="str">
        <f ca="1">IF(ISERROR($V18),"",OFFSET('Smelter Look-up'!$D$4,$V18-4,0)&amp;"")</f>
        <v>AUSTRALIA</v>
      </c>
      <c r="F18" s="149" t="str">
        <f ca="1">IF(ISERROR($V18),"",OFFSET('Smelter Look-up'!$E$4,$V18-4,0))</f>
        <v>CID004071</v>
      </c>
      <c r="G18" s="149" t="str">
        <f ca="1">IF(C18=$X$4,"Enter smelter details",IF(ISERROR($V18),"",OFFSET('Smelter Look-up'!$F$4,$V18-4,0)))</f>
        <v>RMI</v>
      </c>
      <c r="H18" s="206">
        <f ca="1">IF(ISERROR($V18),"",OFFSET('Smelter Look-up'!$G$4,$V18-4,0))</f>
        <v>0</v>
      </c>
      <c r="I18" s="207" t="str">
        <f ca="1">IF(ISERROR($V18),"",OFFSET('Smelter Look-up'!$H$4,$V18-4,0))</f>
        <v>Adelaide</v>
      </c>
      <c r="J18" s="207" t="str">
        <f ca="1">IF(ISERROR($V18),"",OFFSET('Smelter Look-up'!$I$4,$V18-4,0))</f>
        <v>South Australia</v>
      </c>
      <c r="K18" s="150"/>
      <c r="L18" s="150"/>
      <c r="M18" s="150"/>
      <c r="N18" s="150"/>
      <c r="O18" s="150"/>
      <c r="P18" s="209"/>
      <c r="Q18" s="151"/>
      <c r="R18" s="149" t="str">
        <f ca="1">IF(ISERROR($V18),"",OFFSET('Smelter Look-up'!$C$4,$V18-4,0)&amp;"")</f>
        <v>Olympic Dam</v>
      </c>
      <c r="S18" s="155" t="str">
        <f t="shared" ca="1" si="3"/>
        <v>AU</v>
      </c>
      <c r="T18" s="155" t="str">
        <f ca="1">IF(B18="","",IF(ISERROR(MATCH($J18,SorP!$B$1:$B$6226,0)),"",INDIRECT("'SorP'!$A$"&amp;MATCH($S18&amp;$J18,SorP!C:C,0))))</f>
        <v>AU-SA</v>
      </c>
      <c r="U18" s="168"/>
      <c r="V18" s="169">
        <f ca="1">IF(C18="",NA(),MATCH($B18&amp;$C18,'Smelter Look-up'!$J:$J,0))</f>
        <v>248</v>
      </c>
      <c r="X18" s="170">
        <f t="shared" ca="1" si="4"/>
        <v>0</v>
      </c>
      <c r="AB18" s="314" t="str">
        <f t="shared" ca="1" si="5"/>
        <v>Copper</v>
      </c>
    </row>
    <row r="19" spans="1:28" s="170" customFormat="1" ht="127.5">
      <c r="A19" s="198" t="s">
        <v>18746</v>
      </c>
      <c r="B19" s="304" t="str">
        <f ca="1">IF(LEN(A19)=0,"",INDEX('Smelter Look-up'!$A:$A,MATCH($A19,'Smelter Look-up'!$E:$E,0)))</f>
        <v>Copper</v>
      </c>
      <c r="C19" s="152" t="str">
        <f ca="1">IF(LEN(A19)=0,"",INDEX('Smelter Look-up'!$C:$C,MATCH($A19,'Smelter Look-up'!$E:$E,0)))</f>
        <v>Mount Isa Mines Limited - Copper Refineries Pty Ltd (Glencore)</v>
      </c>
      <c r="D19" s="149"/>
      <c r="E19" s="149" t="str">
        <f ca="1">IF(ISERROR($V19),"",OFFSET('Smelter Look-up'!$D$4,$V19-4,0)&amp;"")</f>
        <v>AUSTRALIA</v>
      </c>
      <c r="F19" s="149" t="str">
        <f ca="1">IF(ISERROR($V19),"",OFFSET('Smelter Look-up'!$E$4,$V19-4,0))</f>
        <v>CID004429</v>
      </c>
      <c r="G19" s="149" t="str">
        <f ca="1">IF(C19=$X$4,"Enter smelter details",IF(ISERROR($V19),"",OFFSET('Smelter Look-up'!$F$4,$V19-4,0)))</f>
        <v>RMI</v>
      </c>
      <c r="H19" s="206">
        <f ca="1">IF(ISERROR($V19),"",OFFSET('Smelter Look-up'!$G$4,$V19-4,0))</f>
        <v>0</v>
      </c>
      <c r="I19" s="207" t="str">
        <f ca="1">IF(ISERROR($V19),"",OFFSET('Smelter Look-up'!$H$4,$V19-4,0))</f>
        <v>Stuart</v>
      </c>
      <c r="J19" s="207" t="str">
        <f ca="1">IF(ISERROR($V19),"",OFFSET('Smelter Look-up'!$I$4,$V19-4,0))</f>
        <v>Queensland</v>
      </c>
      <c r="K19" s="150"/>
      <c r="L19" s="150"/>
      <c r="M19" s="150"/>
      <c r="N19" s="150"/>
      <c r="O19" s="150"/>
      <c r="P19" s="209"/>
      <c r="Q19" s="151"/>
      <c r="R19" s="149" t="str">
        <f ca="1">IF(ISERROR($V19),"",OFFSET('Smelter Look-up'!$C$4,$V19-4,0)&amp;"")</f>
        <v>Mount Isa Mines Limited - Copper Refineries Pty Ltd (Glencore)</v>
      </c>
      <c r="S19" s="155" t="str">
        <f t="shared" ca="1" si="3"/>
        <v>AU</v>
      </c>
      <c r="T19" s="155" t="str">
        <f ca="1">IF(B19="","",IF(ISERROR(MATCH($J19,SorP!$B$1:$B$6226,0)),"",INDIRECT("'SorP'!$A$"&amp;MATCH($S19&amp;$J19,SorP!C:C,0))))</f>
        <v>AU-QLD</v>
      </c>
      <c r="U19" s="168"/>
      <c r="V19" s="169">
        <f ca="1">IF(C19="",NA(),MATCH($B19&amp;$C19,'Smelter Look-up'!$J:$J,0))</f>
        <v>242</v>
      </c>
      <c r="X19" s="170">
        <f t="shared" ca="1" si="4"/>
        <v>0</v>
      </c>
      <c r="AB19" s="314" t="str">
        <f t="shared" ca="1" si="5"/>
        <v>Copper</v>
      </c>
    </row>
    <row r="20" spans="1:28" s="170" customFormat="1" ht="63.75">
      <c r="A20" s="199" t="s">
        <v>19219</v>
      </c>
      <c r="B20" s="304" t="str">
        <f ca="1">IF(LEN(A20)=0,"",INDEX('Smelter Look-up'!$A:$A,MATCH($A20,'Smelter Look-up'!$E:$E,0)))</f>
        <v>Nickel</v>
      </c>
      <c r="C20" s="152" t="str">
        <f ca="1">IF(LEN(A20)=0,"",INDEX('Smelter Look-up'!$C:$C,MATCH($A20,'Smelter Look-up'!$E:$E,0)))</f>
        <v>LOHUM CLEANTECH PVT LTD</v>
      </c>
      <c r="D20" s="149"/>
      <c r="E20" s="149" t="str">
        <f ca="1">IF(ISERROR($V20),"",OFFSET('Smelter Look-up'!$D$4,$V20-4,0)&amp;"")</f>
        <v>INDIA</v>
      </c>
      <c r="F20" s="149" t="str">
        <f ca="1">IF(ISERROR($V20),"",OFFSET('Smelter Look-up'!$E$4,$V20-4,0))</f>
        <v>CID005220</v>
      </c>
      <c r="G20" s="149" t="str">
        <f ca="1">IF(C20=$X$4,"Enter smelter details",IF(ISERROR($V20),"",OFFSET('Smelter Look-up'!$F$4,$V20-4,0)))</f>
        <v>RMI</v>
      </c>
      <c r="H20" s="206">
        <f ca="1">IF(ISERROR($V20),"",OFFSET('Smelter Look-up'!$G$4,$V20-4,0))</f>
        <v>0</v>
      </c>
      <c r="I20" s="207" t="str">
        <f ca="1">IF(ISERROR($V20),"",OFFSET('Smelter Look-up'!$H$4,$V20-4,0))</f>
        <v>Greater Noida</v>
      </c>
      <c r="J20" s="207" t="str">
        <f ca="1">IF(ISERROR($V20),"",OFFSET('Smelter Look-up'!$I$4,$V20-4,0))</f>
        <v>Uttar Pradesh</v>
      </c>
      <c r="K20" s="150"/>
      <c r="L20" s="150"/>
      <c r="M20" s="150"/>
      <c r="N20" s="150"/>
      <c r="O20" s="150"/>
      <c r="P20" s="209"/>
      <c r="Q20" s="151"/>
      <c r="R20" s="149" t="str">
        <f ca="1">IF(ISERROR($V20),"",OFFSET('Smelter Look-up'!$C$4,$V20-4,0)&amp;"")</f>
        <v>LOHUM CLEANTECH PVT LTD</v>
      </c>
      <c r="S20" s="155" t="str">
        <f t="shared" ca="1" si="3"/>
        <v>IN</v>
      </c>
      <c r="T20" s="155" t="str">
        <f ca="1">IF(B20="","",IF(ISERROR(MATCH($J20,SorP!$B$1:$B$6226,0)),"",INDIRECT("'SorP'!$A$"&amp;MATCH($S20&amp;$J20,SorP!C:C,0))))</f>
        <v>IN-UP</v>
      </c>
      <c r="U20" s="168"/>
      <c r="V20" s="169">
        <f ca="1">IF(C20="",NA(),MATCH($B20&amp;$C20,'Smelter Look-up'!$J:$J,0))</f>
        <v>408</v>
      </c>
      <c r="X20" s="170">
        <f t="shared" ca="1" si="4"/>
        <v>0</v>
      </c>
      <c r="AB20" s="314" t="str">
        <f t="shared" ca="1" si="5"/>
        <v>Nickel</v>
      </c>
    </row>
    <row r="21" spans="1:28" s="170" customFormat="1" ht="76.5">
      <c r="A21" s="198" t="s">
        <v>18874</v>
      </c>
      <c r="B21" s="304" t="str">
        <f ca="1">IF(LEN(A21)=0,"",INDEX('Smelter Look-up'!$A:$A,MATCH($A21,'Smelter Look-up'!$E:$E,0)))</f>
        <v>Nickel</v>
      </c>
      <c r="C21" s="152" t="str">
        <f ca="1">IF(LEN(A21)=0,"",INDEX('Smelter Look-up'!$C:$C,MATCH($A21,'Smelter Look-up'!$E:$E,0)))</f>
        <v>Coral Bay Nickel Corporation (CBNC)</v>
      </c>
      <c r="D21" s="149"/>
      <c r="E21" s="149" t="str">
        <f ca="1">IF(ISERROR($V21),"",OFFSET('Smelter Look-up'!$D$4,$V21-4,0)&amp;"")</f>
        <v>PHILIPPINES</v>
      </c>
      <c r="F21" s="149" t="str">
        <f ca="1">IF(ISERROR($V21),"",OFFSET('Smelter Look-up'!$E$4,$V21-4,0))</f>
        <v>CID004575</v>
      </c>
      <c r="G21" s="149" t="str">
        <f ca="1">IF(C21=$X$4,"Enter smelter details",IF(ISERROR($V21),"",OFFSET('Smelter Look-up'!$F$4,$V21-4,0)))</f>
        <v>RMI</v>
      </c>
      <c r="H21" s="206">
        <f ca="1">IF(ISERROR($V21),"",OFFSET('Smelter Look-up'!$G$4,$V21-4,0))</f>
        <v>0</v>
      </c>
      <c r="I21" s="207" t="str">
        <f ca="1">IF(ISERROR($V21),"",OFFSET('Smelter Look-up'!$H$4,$V21-4,0))</f>
        <v>Barangay Rio Tuba, Municipality of Bataraza</v>
      </c>
      <c r="J21" s="207" t="str">
        <f ca="1">IF(ISERROR($V21),"",OFFSET('Smelter Look-up'!$I$4,$V21-4,0))</f>
        <v>Palawan</v>
      </c>
      <c r="K21" s="150"/>
      <c r="L21" s="150"/>
      <c r="M21" s="150"/>
      <c r="N21" s="150"/>
      <c r="O21" s="150"/>
      <c r="P21" s="209"/>
      <c r="Q21" s="151"/>
      <c r="R21" s="149" t="str">
        <f ca="1">IF(ISERROR($V21),"",OFFSET('Smelter Look-up'!$C$4,$V21-4,0)&amp;"")</f>
        <v>Coral Bay Nickel Corporation (CBNC)</v>
      </c>
      <c r="S21" s="155" t="str">
        <f t="shared" ca="1" si="3"/>
        <v>PH</v>
      </c>
      <c r="T21" s="155" t="str">
        <f ca="1">IF(B21="","",IF(ISERROR(MATCH($J21,SorP!$B$1:$B$6226,0)),"",INDIRECT("'SorP'!$A$"&amp;MATCH($S21&amp;$J21,SorP!C:C,0))))</f>
        <v>PH-PLW</v>
      </c>
      <c r="U21" s="168"/>
      <c r="V21" s="169">
        <f ca="1">IF(C21="",NA(),MATCH($B21&amp;$C21,'Smelter Look-up'!$J:$J,0))</f>
        <v>380</v>
      </c>
      <c r="X21" s="170">
        <f t="shared" ca="1" si="4"/>
        <v>0</v>
      </c>
      <c r="AB21" s="314" t="str">
        <f t="shared" ca="1" si="5"/>
        <v>Nickel</v>
      </c>
    </row>
    <row r="22" spans="1:28" s="170" customFormat="1" ht="102">
      <c r="A22" s="198" t="s">
        <v>18883</v>
      </c>
      <c r="B22" s="304" t="str">
        <f ca="1">IF(LEN(A22)=0,"",INDEX('Smelter Look-up'!$A:$A,MATCH($A22,'Smelter Look-up'!$E:$E,0)))</f>
        <v>Nickel</v>
      </c>
      <c r="C22" s="152" t="str">
        <f ca="1">IF(LEN(A22)=0,"",INDEX('Smelter Look-up'!$C:$C,MATCH($A22,'Smelter Look-up'!$E:$E,0)))</f>
        <v>Guizhou Red Star Electronic Material Co., Ltd.</v>
      </c>
      <c r="D22" s="149"/>
      <c r="E22" s="149" t="str">
        <f ca="1">IF(ISERROR($V22),"",OFFSET('Smelter Look-up'!$D$4,$V22-4,0)&amp;"")</f>
        <v>CHINA</v>
      </c>
      <c r="F22" s="149" t="str">
        <f ca="1">IF(ISERROR($V22),"",OFFSET('Smelter Look-up'!$E$4,$V22-4,0))</f>
        <v>CID004432</v>
      </c>
      <c r="G22" s="149" t="str">
        <f ca="1">IF(C22=$X$4,"Enter smelter details",IF(ISERROR($V22),"",OFFSET('Smelter Look-up'!$F$4,$V22-4,0)))</f>
        <v>RMI</v>
      </c>
      <c r="H22" s="206">
        <f ca="1">IF(ISERROR($V22),"",OFFSET('Smelter Look-up'!$G$4,$V22-4,0))</f>
        <v>0</v>
      </c>
      <c r="I22" s="207" t="str">
        <f ca="1">IF(ISERROR($V22),"",OFFSET('Smelter Look-up'!$H$4,$V22-4,0))</f>
        <v>Tongren</v>
      </c>
      <c r="J22" s="207" t="str">
        <f ca="1">IF(ISERROR($V22),"",OFFSET('Smelter Look-up'!$I$4,$V22-4,0))</f>
        <v>Guizhou Sheng</v>
      </c>
      <c r="K22" s="150"/>
      <c r="L22" s="150"/>
      <c r="M22" s="150"/>
      <c r="N22" s="150"/>
      <c r="O22" s="150"/>
      <c r="P22" s="209"/>
      <c r="Q22" s="151"/>
      <c r="R22" s="149" t="str">
        <f ca="1">IF(ISERROR($V22),"",OFFSET('Smelter Look-up'!$C$4,$V22-4,0)&amp;"")</f>
        <v>Guizhou Red Star Electronic Material Co., Ltd.</v>
      </c>
      <c r="S22" s="155" t="str">
        <f t="shared" ca="1" si="3"/>
        <v>CN</v>
      </c>
      <c r="T22" s="155" t="str">
        <f ca="1">IF(B22="","",IF(ISERROR(MATCH($J22,SorP!$B$1:$B$6226,0)),"",INDIRECT("'SorP'!$A$"&amp;MATCH($S22&amp;$J22,SorP!C:C,0))))</f>
        <v>CN-GZ</v>
      </c>
      <c r="U22" s="168"/>
      <c r="V22" s="169">
        <f ca="1">IF(C22="",NA(),MATCH($B22&amp;$C22,'Smelter Look-up'!$J:$J,0))</f>
        <v>390</v>
      </c>
      <c r="X22" s="170">
        <f t="shared" ca="1" si="4"/>
        <v>0</v>
      </c>
      <c r="AB22" s="314" t="str">
        <f t="shared" ca="1" si="5"/>
        <v>Nickel</v>
      </c>
    </row>
    <row r="23" spans="1:28" s="170" customFormat="1" ht="114.75">
      <c r="A23" s="198" t="s">
        <v>18893</v>
      </c>
      <c r="B23" s="304" t="str">
        <f ca="1">IF(LEN(A23)=0,"",INDEX('Smelter Look-up'!$A:$A,MATCH($A23,'Smelter Look-up'!$E:$E,0)))</f>
        <v>Nickel</v>
      </c>
      <c r="C23" s="152" t="str">
        <f ca="1">IF(LEN(A23)=0,"",INDEX('Smelter Look-up'!$C:$C,MATCH($A23,'Smelter Look-up'!$E:$E,0)))</f>
        <v>Jiangmen Chancsun Umicore Industry Co.,Ltd</v>
      </c>
      <c r="D23" s="149"/>
      <c r="E23" s="149" t="str">
        <f ca="1">IF(ISERROR($V23),"",OFFSET('Smelter Look-up'!$D$4,$V23-4,0)&amp;"")</f>
        <v>CHINA</v>
      </c>
      <c r="F23" s="149" t="str">
        <f ca="1">IF(ISERROR($V23),"",OFFSET('Smelter Look-up'!$E$4,$V23-4,0))</f>
        <v>CID004708</v>
      </c>
      <c r="G23" s="149" t="str">
        <f ca="1">IF(C23=$X$4,"Enter smelter details",IF(ISERROR($V23),"",OFFSET('Smelter Look-up'!$F$4,$V23-4,0)))</f>
        <v>RMI</v>
      </c>
      <c r="H23" s="206">
        <f ca="1">IF(ISERROR($V23),"",OFFSET('Smelter Look-up'!$G$4,$V23-4,0))</f>
        <v>0</v>
      </c>
      <c r="I23" s="207" t="str">
        <f ca="1">IF(ISERROR($V23),"",OFFSET('Smelter Look-up'!$H$4,$V23-4,0))</f>
        <v>Jiangmen</v>
      </c>
      <c r="J23" s="207" t="str">
        <f ca="1">IF(ISERROR($V23),"",OFFSET('Smelter Look-up'!$I$4,$V23-4,0))</f>
        <v>Guangdong Sheng</v>
      </c>
      <c r="K23" s="150"/>
      <c r="L23" s="150"/>
      <c r="M23" s="150"/>
      <c r="N23" s="150"/>
      <c r="O23" s="150"/>
      <c r="P23" s="209"/>
      <c r="Q23" s="151"/>
      <c r="R23" s="149" t="str">
        <f ca="1">IF(ISERROR($V23),"",OFFSET('Smelter Look-up'!$C$4,$V23-4,0)&amp;"")</f>
        <v>Jiangmen Chancsun Umicore Industry Co.,Ltd</v>
      </c>
      <c r="S23" s="155" t="str">
        <f t="shared" ca="1" si="3"/>
        <v>CN</v>
      </c>
      <c r="T23" s="155" t="str">
        <f ca="1">IF(B23="","",IF(ISERROR(MATCH($J23,SorP!$B$1:$B$6226,0)),"",INDIRECT("'SorP'!$A$"&amp;MATCH($S23&amp;$J23,SorP!C:C,0))))</f>
        <v>CN-GD</v>
      </c>
      <c r="U23" s="168"/>
      <c r="V23" s="169">
        <f ca="1">IF(C23="",NA(),MATCH($B23&amp;$C23,'Smelter Look-up'!$J:$J,0))</f>
        <v>402</v>
      </c>
      <c r="X23" s="170">
        <f t="shared" ca="1" si="4"/>
        <v>0</v>
      </c>
      <c r="AB23" s="314" t="str">
        <f t="shared" ca="1" si="5"/>
        <v>Nickel</v>
      </c>
    </row>
    <row r="24" spans="1:28" s="170" customFormat="1" ht="102">
      <c r="A24" s="155" t="s">
        <v>18823</v>
      </c>
      <c r="B24" s="304" t="str">
        <f ca="1">IF(LEN(A24)=0,"",INDEX('Smelter Look-up'!$A:$A,MATCH($A24,'Smelter Look-up'!$E:$E,0)))</f>
        <v>Lithium</v>
      </c>
      <c r="C24" s="152" t="str">
        <f ca="1">IF(LEN(A24)=0,"",INDEX('Smelter Look-up'!$C:$C,MATCH($A24,'Smelter Look-up'!$E:$E,0)))</f>
        <v>Jiangxi Nanshi Lithium Power New Materials Co., Ltd.</v>
      </c>
      <c r="D24" s="149"/>
      <c r="E24" s="149" t="str">
        <f ca="1">IF(ISERROR($V24),"",OFFSET('Smelter Look-up'!$D$4,$V24-4,0)&amp;"")</f>
        <v>CHINA</v>
      </c>
      <c r="F24" s="149" t="str">
        <f ca="1">IF(ISERROR($V24),"",OFFSET('Smelter Look-up'!$E$4,$V24-4,0))</f>
        <v>CID004014</v>
      </c>
      <c r="G24" s="149" t="str">
        <f ca="1">IF(C24=$X$4,"Enter smelter details",IF(ISERROR($V24),"",OFFSET('Smelter Look-up'!$F$4,$V24-4,0)))</f>
        <v>RMI</v>
      </c>
      <c r="H24" s="206">
        <f ca="1">IF(ISERROR($V24),"",OFFSET('Smelter Look-up'!$G$4,$V24-4,0))</f>
        <v>0</v>
      </c>
      <c r="I24" s="207" t="str">
        <f ca="1">IF(ISERROR($V24),"",OFFSET('Smelter Look-up'!$H$4,$V24-4,0))</f>
        <v>Yichun City</v>
      </c>
      <c r="J24" s="207" t="str">
        <f ca="1">IF(ISERROR($V24),"",OFFSET('Smelter Look-up'!$I$4,$V24-4,0))</f>
        <v>Jiangxi Sheng</v>
      </c>
      <c r="K24" s="150"/>
      <c r="L24" s="150"/>
      <c r="M24" s="150"/>
      <c r="N24" s="150"/>
      <c r="O24" s="150"/>
      <c r="P24" s="209"/>
      <c r="Q24" s="151"/>
      <c r="R24" s="149" t="str">
        <f ca="1">IF(ISERROR($V24),"",OFFSET('Smelter Look-up'!$C$4,$V24-4,0)&amp;"")</f>
        <v>Jiangxi Nanshi Lithium Power New Materials Co., Ltd.</v>
      </c>
      <c r="S24" s="155" t="str">
        <f t="shared" ca="1" si="3"/>
        <v>CN</v>
      </c>
      <c r="T24" s="155" t="str">
        <f ca="1">IF(B24="","",IF(ISERROR(MATCH($J24,SorP!$B$1:$B$6226,0)),"",INDIRECT("'SorP'!$A$"&amp;MATCH($S24&amp;$J24,SorP!C:C,0))))</f>
        <v>CN-JX</v>
      </c>
      <c r="U24" s="168"/>
      <c r="V24" s="169">
        <f ca="1">IF(C24="",NA(),MATCH($B24&amp;$C24,'Smelter Look-up'!$J:$J,0))</f>
        <v>302</v>
      </c>
      <c r="X24" s="170">
        <f t="shared" ca="1" si="4"/>
        <v>0</v>
      </c>
      <c r="AB24" s="314" t="str">
        <f t="shared" ca="1" si="5"/>
        <v>Lithium</v>
      </c>
    </row>
    <row r="25" spans="1:28" s="170" customFormat="1" ht="89.25">
      <c r="A25" s="155" t="s">
        <v>18803</v>
      </c>
      <c r="B25" s="304" t="str">
        <f ca="1">IF(LEN(A25)=0,"",INDEX('Smelter Look-up'!$A:$A,MATCH($A25,'Smelter Look-up'!$E:$E,0)))</f>
        <v>Lithium</v>
      </c>
      <c r="C25" s="152" t="str">
        <f ca="1">IF(LEN(A25)=0,"",INDEX('Smelter Look-up'!$C:$C,MATCH($A25,'Smelter Look-up'!$E:$E,0)))</f>
        <v>Ganzhou Miracle Lithium Industrial Co., Ltd.</v>
      </c>
      <c r="D25" s="149"/>
      <c r="E25" s="149" t="str">
        <f ca="1">IF(ISERROR($V25),"",OFFSET('Smelter Look-up'!$D$4,$V25-4,0)&amp;"")</f>
        <v>CHINA</v>
      </c>
      <c r="F25" s="149" t="str">
        <f ca="1">IF(ISERROR($V25),"",OFFSET('Smelter Look-up'!$E$4,$V25-4,0))</f>
        <v>CID004022</v>
      </c>
      <c r="G25" s="149" t="str">
        <f ca="1">IF(C25=$X$4,"Enter smelter details",IF(ISERROR($V25),"",OFFSET('Smelter Look-up'!$F$4,$V25-4,0)))</f>
        <v>RMI</v>
      </c>
      <c r="H25" s="206">
        <f ca="1">IF(ISERROR($V25),"",OFFSET('Smelter Look-up'!$G$4,$V25-4,0))</f>
        <v>0</v>
      </c>
      <c r="I25" s="207" t="str">
        <f ca="1">IF(ISERROR($V25),"",OFFSET('Smelter Look-up'!$H$4,$V25-4,0))</f>
        <v>Ganzhou</v>
      </c>
      <c r="J25" s="207" t="str">
        <f ca="1">IF(ISERROR($V25),"",OFFSET('Smelter Look-up'!$I$4,$V25-4,0))</f>
        <v>Jiangxi Sheng</v>
      </c>
      <c r="K25" s="150"/>
      <c r="L25" s="150"/>
      <c r="M25" s="150"/>
      <c r="N25" s="150"/>
      <c r="O25" s="150"/>
      <c r="P25" s="209"/>
      <c r="Q25" s="151"/>
      <c r="R25" s="149" t="str">
        <f ca="1">IF(ISERROR($V25),"",OFFSET('Smelter Look-up'!$C$4,$V25-4,0)&amp;"")</f>
        <v>Ganzhou Miracle Lithium Industrial Co., Ltd.</v>
      </c>
      <c r="S25" s="155" t="str">
        <f t="shared" ca="1" si="3"/>
        <v>CN</v>
      </c>
      <c r="T25" s="155" t="str">
        <f ca="1">IF(B25="","",IF(ISERROR(MATCH($J25,SorP!$B$1:$B$6226,0)),"",INDIRECT("'SorP'!$A$"&amp;MATCH($S25&amp;$J25,SorP!C:C,0))))</f>
        <v>CN-JX</v>
      </c>
      <c r="U25" s="168"/>
      <c r="V25" s="169">
        <f ca="1">IF(C25="",NA(),MATCH($B25&amp;$C25,'Smelter Look-up'!$J:$J,0))</f>
        <v>290</v>
      </c>
      <c r="X25" s="170">
        <f t="shared" ca="1" si="4"/>
        <v>0</v>
      </c>
      <c r="AB25" s="314" t="str">
        <f t="shared" ca="1" si="5"/>
        <v>Lithium</v>
      </c>
    </row>
    <row r="26" spans="1:28" s="170" customFormat="1" ht="51">
      <c r="A26" s="155" t="s">
        <v>18795</v>
      </c>
      <c r="B26" s="304" t="str">
        <f ca="1">IF(LEN(A26)=0,"",INDEX('Smelter Look-up'!$A:$A,MATCH($A26,'Smelter Look-up'!$E:$E,0)))</f>
        <v>Lithium</v>
      </c>
      <c r="C26" s="152" t="str">
        <f ca="1">IF(LEN(A26)=0,"",INDEX('Smelter Look-up'!$C:$C,MATCH($A26,'Smelter Look-up'!$E:$E,0)))</f>
        <v>Attero Recycling Pvt Ltd</v>
      </c>
      <c r="D26" s="149"/>
      <c r="E26" s="149" t="str">
        <f ca="1">IF(ISERROR($V26),"",OFFSET('Smelter Look-up'!$D$4,$V26-4,0)&amp;"")</f>
        <v>INDIA</v>
      </c>
      <c r="F26" s="149" t="str">
        <f ca="1">IF(ISERROR($V26),"",OFFSET('Smelter Look-up'!$E$4,$V26-4,0))</f>
        <v>CID004696</v>
      </c>
      <c r="G26" s="149" t="str">
        <f ca="1">IF(C26=$X$4,"Enter smelter details",IF(ISERROR($V26),"",OFFSET('Smelter Look-up'!$F$4,$V26-4,0)))</f>
        <v>RMI</v>
      </c>
      <c r="H26" s="206">
        <f ca="1">IF(ISERROR($V26),"",OFFSET('Smelter Look-up'!$G$4,$V26-4,0))</f>
        <v>0</v>
      </c>
      <c r="I26" s="207" t="str">
        <f ca="1">IF(ISERROR($V26),"",OFFSET('Smelter Look-up'!$H$4,$V26-4,0))</f>
        <v>Roorkee</v>
      </c>
      <c r="J26" s="207" t="str">
        <f ca="1">IF(ISERROR($V26),"",OFFSET('Smelter Look-up'!$I$4,$V26-4,0))</f>
        <v>Uttarākhand</v>
      </c>
      <c r="K26" s="150"/>
      <c r="L26" s="150"/>
      <c r="M26" s="150"/>
      <c r="N26" s="150"/>
      <c r="O26" s="150"/>
      <c r="P26" s="209"/>
      <c r="Q26" s="151"/>
      <c r="R26" s="149" t="str">
        <f ca="1">IF(ISERROR($V26),"",OFFSET('Smelter Look-up'!$C$4,$V26-4,0)&amp;"")</f>
        <v>Attero Recycling Pvt Ltd</v>
      </c>
      <c r="S26" s="155" t="str">
        <f t="shared" ca="1" si="3"/>
        <v>IN</v>
      </c>
      <c r="T26" s="155" t="str">
        <f ca="1">IF(B26="","",IF(ISERROR(MATCH($J26,SorP!$B$1:$B$6226,0)),"",INDIRECT("'SorP'!$A$"&amp;MATCH($S26&amp;$J26,SorP!C:C,0))))</f>
        <v>IN-UK</v>
      </c>
      <c r="U26" s="168"/>
      <c r="V26" s="169">
        <f ca="1">IF(C26="",NA(),MATCH($B26&amp;$C26,'Smelter Look-up'!$J:$J,0))</f>
        <v>286</v>
      </c>
      <c r="X26" s="170">
        <f t="shared" ca="1" si="4"/>
        <v>0</v>
      </c>
      <c r="AB26" s="314" t="str">
        <f t="shared" ca="1" si="5"/>
        <v>Lithium</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LabJack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All products produced by LabJack</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Toby Stensland</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support@labjack.com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303-942-0228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Toby Stensland</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support@labjack.com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45827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Lithium(*)</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Mica(*)</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Nickel(*)</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Lithium(*)</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Mica(*)</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Nickel(*)</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Lithium(*)</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Mica(*)</v>
      </c>
      <c r="B42" s="79" t="str">
        <f>Declaration!D57</f>
        <v>No</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Nickel(*)</v>
      </c>
      <c r="B43" s="79" t="str">
        <f>Declaration!D58</f>
        <v>No</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Lithium(*)</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Mica(*)</v>
      </c>
      <c r="B53" s="79" t="str">
        <f>Declaration!D69</f>
        <v>No</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Nickel(*)</v>
      </c>
      <c r="B54" s="79" t="str">
        <f>Declaration!D70</f>
        <v>No</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75%</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Lithium(*)</v>
      </c>
      <c r="B63" s="79" t="str">
        <f>Declaration!D80</f>
        <v>Greater than 75%</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Mica(*)</v>
      </c>
      <c r="B64" s="79" t="str">
        <f>Declaration!D81</f>
        <v>Greater than 75%</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Nickel(*)</v>
      </c>
      <c r="B65" s="79" t="str">
        <f>Declaration!D82</f>
        <v>Greater than 75%</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Lithium(*)</v>
      </c>
      <c r="B74" s="79" t="str">
        <f>Declaration!D92</f>
        <v>No</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Mica(*)</v>
      </c>
      <c r="B75" s="79" t="str">
        <f>Declaration!D93</f>
        <v>Yes</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Nickel(*)</v>
      </c>
      <c r="B76" s="79" t="str">
        <f>Declaration!D94</f>
        <v>No</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Lithium(*)</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Mica(*)</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Nickel(*)</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https://labjack.com/blogs/faq/compliance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Lithium(*)</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Mica(*)</v>
      </c>
      <c r="B101" s="79" t="str">
        <f>Declaration!D123</f>
        <v>Yes</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Nickel(*)</v>
      </c>
      <c r="B102" s="79" t="str">
        <f>Declaration!D124</f>
        <v>Yes</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Lithium</v>
      </c>
      <c r="B116" s="79"/>
      <c r="C116" s="136" t="str">
        <f t="shared" ca="1" si="49"/>
        <v>Complete</v>
      </c>
      <c r="D116" s="379" t="str">
        <f t="shared" ref="D116:D119" ca="1" si="51">IF(H116=0,"","Click here to provide smelter information")</f>
        <v/>
      </c>
      <c r="E116" s="16"/>
      <c r="F116" s="84">
        <f t="shared" ref="F116:F119" si="52">F41</f>
        <v>1</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Mica</v>
      </c>
      <c r="B117" s="79"/>
      <c r="C117" s="136" t="str">
        <f t="shared" ca="1" si="49"/>
        <v>Complete</v>
      </c>
      <c r="D117" s="379" t="str">
        <f t="shared" ca="1" si="51"/>
        <v/>
      </c>
      <c r="E117" s="16"/>
      <c r="F117" s="84">
        <f t="shared" si="52"/>
        <v>1</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Nickel</v>
      </c>
      <c r="B118" s="79"/>
      <c r="C118" s="136" t="str">
        <f t="shared" ca="1" si="49"/>
        <v>Complete</v>
      </c>
      <c r="D118" s="379" t="str">
        <f t="shared" ca="1" si="51"/>
        <v/>
      </c>
      <c r="E118" s="16"/>
      <c r="F118" s="84">
        <f t="shared" si="52"/>
        <v>1</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1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375" activePane="bottomLeft" state="frozen"/>
      <selection activeCell="B24" sqref="B24:J24"/>
      <selection pane="bottomLeft" activeCell="E380" sqref="E380"/>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LJ QMS</cp:lastModifiedBy>
  <cp:revision/>
  <dcterms:created xsi:type="dcterms:W3CDTF">2010-06-21T21:00:23Z</dcterms:created>
  <dcterms:modified xsi:type="dcterms:W3CDTF">2025-06-19T16:51:23Z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WorkbookGuid">
    <vt:lpwstr>d34b6016-db2e-47b6-9714-8d339044cd1c</vt:lpwstr>
  </property>
</Properties>
</file>